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lrrrt-my.sharepoint.com/personal/daniele_kazilionyte_rrt_lt/Documents/Desktop/Metinė/"/>
    </mc:Choice>
  </mc:AlternateContent>
  <xr:revisionPtr revIDLastSave="0" documentId="8_{26736EFE-DCD3-4780-A75F-16F9585EEBC7}" xr6:coauthVersionLast="47" xr6:coauthVersionMax="47" xr10:uidLastSave="{00000000-0000-0000-0000-000000000000}"/>
  <bookViews>
    <workbookView xWindow="57480" yWindow="10800" windowWidth="29040" windowHeight="15225" xr2:uid="{00000000-000D-0000-FFFF-FFFF00000000}"/>
  </bookViews>
  <sheets>
    <sheet name="1-4 Tinklas ir rinka" sheetId="13" r:id="rId1"/>
    <sheet name="5-7 Faktinė darbo apimtis" sheetId="15" r:id="rId2"/>
    <sheet name="8-10 Traukinių eismas" sheetId="16" r:id="rId3"/>
    <sheet name="11-13 Krovinių vežimo rinka" sheetId="17" r:id="rId4"/>
    <sheet name="14-15 Keleivių vežimo rinka" sheetId="2" r:id="rId5"/>
    <sheet name="16-18 Rinkos dalyviųdarbuotojai" sheetId="3" r:id="rId6"/>
    <sheet name="19-22 Užmokesčiai už VGĮ, UMPP" sheetId="6" r:id="rId7"/>
    <sheet name="23-25 Pajamos ir išlaidos" sheetId="4" r:id="rId8"/>
    <sheet name="26 Traukinių punktualumas" sheetId="7" r:id="rId9"/>
    <sheet name="27-28 GPĮ ir jų panaudojimas" sheetId="5" r:id="rId10"/>
    <sheet name="29 Kt. šalys" sheetId="14" r:id="rId11"/>
  </sheets>
  <externalReferences>
    <externalReference r:id="rId12"/>
    <externalReference r:id="rId13"/>
    <externalReference r:id="rId14"/>
    <externalReference r:id="rId15"/>
    <externalReference r:id="rId16"/>
    <externalReference r:id="rId17"/>
    <externalReference r:id="rId18"/>
  </externalReferences>
  <definedNames>
    <definedName name="_Key1" hidden="1">#REF!</definedName>
    <definedName name="_Key2" hidden="1">#REF!</definedName>
    <definedName name="_Order1" hidden="1">255</definedName>
    <definedName name="_Order2" hidden="1">255</definedName>
    <definedName name="_Richtung" hidden="1">#REF!</definedName>
    <definedName name="_Sort" hidden="1">#REF!</definedName>
    <definedName name="Accounting">'[1]lentelės ataskaitai'!#REF!</definedName>
    <definedName name="ArtUnternehmen">'[1]lentelės ataskaitai'!#REF!</definedName>
    <definedName name="Bitte_durch_Klick_ins_Auswahlmenü_auswählen">'[1]lentelės ataskaitai'!#REF!</definedName>
    <definedName name="EIU">'[1]lentelės ataskaitai'!#REF!</definedName>
    <definedName name="fff" hidden="1">#REF!</definedName>
    <definedName name="Kreuz">'[1]lentelės ataskaitai'!#REF!</definedName>
    <definedName name="Rechtsform">'[1]lentelės ataskaitai'!#REF!</definedName>
    <definedName name="Zuschüsse">'[1]lentelės ataskaitai'!#REF!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4" l="1"/>
  <c r="H26" i="4" l="1"/>
  <c r="H27" i="4"/>
  <c r="B5" i="3"/>
  <c r="C5" i="3"/>
  <c r="D5" i="3"/>
  <c r="E5" i="3"/>
  <c r="F5" i="3"/>
  <c r="F27" i="4"/>
  <c r="F26" i="4"/>
  <c r="F6" i="4"/>
  <c r="H6" i="4" s="1"/>
  <c r="G16" i="15"/>
  <c r="H26" i="3"/>
  <c r="H22" i="17"/>
  <c r="F21" i="17"/>
  <c r="H21" i="17" s="1"/>
  <c r="E21" i="17"/>
  <c r="D21" i="17"/>
  <c r="C21" i="17"/>
  <c r="B21" i="17"/>
  <c r="D16" i="17"/>
  <c r="D15" i="17"/>
  <c r="D14" i="17"/>
  <c r="D13" i="17"/>
  <c r="D12" i="17"/>
  <c r="F8" i="17"/>
  <c r="H8" i="17" s="1"/>
  <c r="E8" i="17"/>
  <c r="D8" i="17"/>
  <c r="C8" i="17"/>
  <c r="B8" i="17"/>
  <c r="F7" i="17"/>
  <c r="H7" i="17" s="1"/>
  <c r="E7" i="17"/>
  <c r="D7" i="17"/>
  <c r="C7" i="17"/>
  <c r="B7" i="17"/>
  <c r="F6" i="17"/>
  <c r="H6" i="17" s="1"/>
  <c r="E6" i="17"/>
  <c r="D6" i="17"/>
  <c r="C6" i="17"/>
  <c r="B6" i="17"/>
  <c r="G5" i="17"/>
  <c r="F5" i="17"/>
  <c r="E5" i="17"/>
  <c r="D5" i="17"/>
  <c r="C5" i="17"/>
  <c r="B5" i="17"/>
  <c r="F26" i="16"/>
  <c r="E26" i="16"/>
  <c r="D26" i="16"/>
  <c r="C26" i="16"/>
  <c r="B26" i="16"/>
  <c r="F25" i="16"/>
  <c r="E25" i="16"/>
  <c r="D25" i="16"/>
  <c r="C25" i="16"/>
  <c r="B25" i="16"/>
  <c r="G24" i="16"/>
  <c r="F24" i="16"/>
  <c r="E24" i="16"/>
  <c r="D24" i="16"/>
  <c r="C24" i="16"/>
  <c r="B24" i="16"/>
  <c r="F23" i="16"/>
  <c r="E23" i="16"/>
  <c r="D23" i="16"/>
  <c r="C23" i="16"/>
  <c r="B23" i="16"/>
  <c r="F22" i="16"/>
  <c r="E22" i="16"/>
  <c r="D22" i="16"/>
  <c r="C22" i="16"/>
  <c r="B22" i="16"/>
  <c r="G21" i="16"/>
  <c r="F21" i="16"/>
  <c r="F27" i="16" s="1"/>
  <c r="E21" i="16"/>
  <c r="E27" i="16" s="1"/>
  <c r="D21" i="16"/>
  <c r="D27" i="16" s="1"/>
  <c r="C21" i="16"/>
  <c r="C27" i="16" s="1"/>
  <c r="B21" i="16"/>
  <c r="B27" i="16" s="1"/>
  <c r="D16" i="16"/>
  <c r="D15" i="16"/>
  <c r="D14" i="16"/>
  <c r="D13" i="16"/>
  <c r="D12" i="16"/>
  <c r="D11" i="16"/>
  <c r="F7" i="16"/>
  <c r="H7" i="16" s="1"/>
  <c r="E7" i="16"/>
  <c r="D7" i="16"/>
  <c r="C7" i="16"/>
  <c r="B7" i="16"/>
  <c r="F6" i="16"/>
  <c r="H6" i="16" s="1"/>
  <c r="E6" i="16"/>
  <c r="D6" i="16"/>
  <c r="C6" i="16"/>
  <c r="B6" i="16"/>
  <c r="F4" i="16"/>
  <c r="E4" i="16"/>
  <c r="D4" i="16"/>
  <c r="C4" i="16"/>
  <c r="B4" i="16"/>
  <c r="D28" i="15"/>
  <c r="D27" i="15"/>
  <c r="D26" i="15"/>
  <c r="D25" i="15"/>
  <c r="D24" i="15"/>
  <c r="D23" i="15"/>
  <c r="F18" i="15"/>
  <c r="H18" i="15" s="1"/>
  <c r="E18" i="15"/>
  <c r="D18" i="15"/>
  <c r="C18" i="15"/>
  <c r="C16" i="15" s="1"/>
  <c r="F17" i="15"/>
  <c r="H17" i="15" s="1"/>
  <c r="H16" i="15"/>
  <c r="F9" i="15"/>
  <c r="H9" i="15" s="1"/>
  <c r="E9" i="15"/>
  <c r="D9" i="15"/>
  <c r="C9" i="15"/>
  <c r="B9" i="15"/>
  <c r="F6" i="15"/>
  <c r="H6" i="15" s="1"/>
  <c r="E6" i="15"/>
  <c r="D6" i="15"/>
  <c r="C6" i="15"/>
  <c r="B6" i="15"/>
  <c r="G5" i="15"/>
  <c r="H5" i="15" s="1"/>
  <c r="F4" i="15"/>
  <c r="E4" i="15"/>
  <c r="D4" i="15"/>
  <c r="C4" i="15"/>
  <c r="B4" i="15"/>
  <c r="H64" i="6"/>
  <c r="H65" i="6"/>
  <c r="H63" i="6"/>
  <c r="E14" i="13"/>
  <c r="H5" i="17" l="1"/>
  <c r="G29" i="16"/>
  <c r="G28" i="16"/>
  <c r="G27" i="16"/>
  <c r="H27" i="16" s="1"/>
  <c r="H21" i="16"/>
  <c r="B28" i="16"/>
  <c r="C28" i="16"/>
  <c r="D28" i="16"/>
  <c r="E28" i="16"/>
  <c r="F28" i="16"/>
  <c r="H22" i="16"/>
  <c r="B29" i="16"/>
  <c r="C29" i="16"/>
  <c r="D29" i="16"/>
  <c r="E29" i="16"/>
  <c r="F29" i="16"/>
  <c r="H23" i="16"/>
  <c r="B30" i="16"/>
  <c r="C30" i="16"/>
  <c r="D30" i="16"/>
  <c r="E30" i="16"/>
  <c r="F30" i="16"/>
  <c r="G32" i="16"/>
  <c r="G31" i="16"/>
  <c r="G30" i="16"/>
  <c r="H24" i="16"/>
  <c r="B31" i="16"/>
  <c r="C31" i="16"/>
  <c r="D31" i="16"/>
  <c r="E31" i="16"/>
  <c r="F31" i="16"/>
  <c r="H25" i="16"/>
  <c r="B32" i="16"/>
  <c r="C32" i="16"/>
  <c r="D32" i="16"/>
  <c r="E32" i="16"/>
  <c r="F32" i="16"/>
  <c r="H26" i="16"/>
  <c r="D14" i="13"/>
  <c r="C14" i="13"/>
  <c r="B14" i="13"/>
  <c r="H30" i="16" l="1"/>
  <c r="H31" i="16"/>
  <c r="H32" i="16"/>
  <c r="H28" i="16"/>
  <c r="H29" i="16"/>
  <c r="G22" i="4" l="1"/>
  <c r="C49" i="6" l="1"/>
  <c r="G41" i="6"/>
  <c r="G5" i="2"/>
  <c r="F5" i="7" l="1"/>
  <c r="G5" i="3" l="1"/>
  <c r="H7" i="3"/>
  <c r="H8" i="3"/>
  <c r="H10" i="3"/>
  <c r="B8" i="3"/>
  <c r="B7" i="3"/>
  <c r="C8" i="3"/>
  <c r="C7" i="3"/>
  <c r="D8" i="3"/>
  <c r="D7" i="3"/>
  <c r="H5" i="3" l="1"/>
  <c r="B12" i="3" l="1"/>
  <c r="B11" i="3"/>
  <c r="C12" i="3"/>
  <c r="C11" i="3"/>
  <c r="D12" i="3"/>
  <c r="D11" i="3"/>
  <c r="F12" i="3"/>
  <c r="H12" i="3" s="1"/>
  <c r="F11" i="3"/>
  <c r="H11" i="3" s="1"/>
  <c r="E11" i="3"/>
  <c r="E12" i="3"/>
  <c r="F45" i="6" l="1"/>
  <c r="G45" i="6"/>
  <c r="D49" i="6"/>
  <c r="D59" i="6"/>
  <c r="D58" i="6"/>
  <c r="D57" i="6"/>
  <c r="D56" i="6"/>
  <c r="D55" i="6"/>
  <c r="D54" i="6"/>
  <c r="D52" i="6"/>
  <c r="D51" i="6"/>
  <c r="D50" i="6"/>
  <c r="H5" i="13"/>
  <c r="B5" i="4" l="1"/>
  <c r="C5" i="4"/>
  <c r="D5" i="4"/>
  <c r="E5" i="4"/>
  <c r="F5" i="4" l="1"/>
  <c r="H5" i="4" s="1"/>
  <c r="C22" i="7" l="1"/>
  <c r="C24" i="7"/>
  <c r="C23" i="7"/>
  <c r="E9" i="14" l="1"/>
  <c r="E8" i="14"/>
  <c r="K22" i="14"/>
  <c r="G22" i="14"/>
  <c r="E22" i="14"/>
  <c r="C22" i="14"/>
  <c r="C17" i="14" s="1"/>
  <c r="K21" i="14"/>
  <c r="I21" i="14"/>
  <c r="H21" i="14"/>
  <c r="H13" i="14" s="1"/>
  <c r="G21" i="14"/>
  <c r="G13" i="14" s="1"/>
  <c r="E21" i="14"/>
  <c r="C21" i="14"/>
  <c r="C13" i="14" s="1"/>
  <c r="K19" i="14"/>
  <c r="J19" i="14"/>
  <c r="I19" i="14"/>
  <c r="D19" i="14"/>
  <c r="K18" i="14"/>
  <c r="J18" i="14"/>
  <c r="I18" i="14"/>
  <c r="F18" i="14"/>
  <c r="H17" i="14"/>
  <c r="F17" i="14"/>
  <c r="K16" i="14"/>
  <c r="J16" i="14"/>
  <c r="J17" i="14" s="1"/>
  <c r="I16" i="14"/>
  <c r="I17" i="14" s="1"/>
  <c r="D16" i="14"/>
  <c r="D17" i="14" s="1"/>
  <c r="B16" i="14"/>
  <c r="B17" i="14" s="1"/>
  <c r="K15" i="14"/>
  <c r="J15" i="14"/>
  <c r="I15" i="14"/>
  <c r="D15" i="14"/>
  <c r="K14" i="14"/>
  <c r="J14" i="14"/>
  <c r="I14" i="14"/>
  <c r="F14" i="14"/>
  <c r="F13" i="14"/>
  <c r="K12" i="14"/>
  <c r="K13" i="14" s="1"/>
  <c r="J12" i="14"/>
  <c r="J13" i="14" s="1"/>
  <c r="I12" i="14"/>
  <c r="D12" i="14"/>
  <c r="D13" i="14" s="1"/>
  <c r="K9" i="14"/>
  <c r="J9" i="14"/>
  <c r="I9" i="14"/>
  <c r="H9" i="14"/>
  <c r="G9" i="14"/>
  <c r="F9" i="14"/>
  <c r="D9" i="14"/>
  <c r="C9" i="14"/>
  <c r="K8" i="14"/>
  <c r="J8" i="14"/>
  <c r="I8" i="14"/>
  <c r="H8" i="14"/>
  <c r="G8" i="14"/>
  <c r="F8" i="14"/>
  <c r="D8" i="14"/>
  <c r="C8" i="14"/>
  <c r="K17" i="14" l="1"/>
  <c r="I13" i="14"/>
  <c r="H12" i="4" l="1"/>
  <c r="H14" i="13"/>
  <c r="H13" i="13"/>
  <c r="C8" i="13" l="1"/>
  <c r="D8" i="13"/>
  <c r="E8" i="13"/>
  <c r="F8" i="13"/>
  <c r="G8" i="13"/>
  <c r="B8" i="13"/>
  <c r="H9" i="13"/>
  <c r="H6" i="13"/>
  <c r="H8" i="13" l="1"/>
  <c r="H7" i="13" l="1"/>
  <c r="H30" i="13"/>
  <c r="H28" i="13"/>
  <c r="H27" i="13" l="1"/>
  <c r="H5" i="6" l="1"/>
  <c r="H6" i="6"/>
  <c r="H44" i="6" l="1"/>
  <c r="H42" i="6"/>
  <c r="G43" i="6" l="1"/>
  <c r="H41" i="6"/>
  <c r="F16" i="7" l="1"/>
  <c r="E16" i="7"/>
  <c r="D16" i="7"/>
  <c r="C16" i="7"/>
  <c r="B16" i="7"/>
  <c r="F15" i="7"/>
  <c r="E15" i="7"/>
  <c r="D15" i="7"/>
  <c r="C15" i="7"/>
  <c r="B15" i="7"/>
  <c r="F14" i="7"/>
  <c r="E14" i="7"/>
  <c r="D14" i="7"/>
  <c r="C14" i="7"/>
  <c r="B14" i="7"/>
  <c r="F13" i="7"/>
  <c r="F12" i="7"/>
  <c r="F11" i="7"/>
  <c r="F10" i="7"/>
  <c r="E10" i="7"/>
  <c r="D10" i="7"/>
  <c r="C10" i="7"/>
  <c r="B10" i="7"/>
  <c r="F9" i="7"/>
  <c r="E9" i="7"/>
  <c r="D9" i="7"/>
  <c r="C9" i="7"/>
  <c r="B9" i="7"/>
  <c r="E8" i="7"/>
  <c r="D8" i="7"/>
  <c r="C8" i="7"/>
  <c r="B8" i="7"/>
  <c r="F7" i="7"/>
  <c r="F6" i="7"/>
  <c r="E5" i="7"/>
  <c r="D5" i="7"/>
  <c r="C5" i="7"/>
  <c r="B5" i="7"/>
  <c r="E44" i="6"/>
  <c r="D44" i="6"/>
  <c r="C44" i="6"/>
  <c r="B44" i="6"/>
  <c r="E42" i="6"/>
  <c r="D42" i="6"/>
  <c r="C42" i="6"/>
  <c r="B42" i="6"/>
  <c r="E41" i="6"/>
  <c r="D41" i="6"/>
  <c r="C41" i="6"/>
  <c r="B41" i="6"/>
  <c r="D45" i="6" l="1"/>
  <c r="E45" i="6"/>
  <c r="C45" i="6"/>
  <c r="B23" i="7"/>
  <c r="B24" i="7"/>
  <c r="C7" i="7"/>
  <c r="E6" i="7"/>
  <c r="B6" i="7"/>
  <c r="D7" i="7"/>
  <c r="C43" i="6"/>
  <c r="E43" i="6"/>
  <c r="D43" i="6"/>
  <c r="F8" i="7"/>
  <c r="B22" i="7" s="1"/>
  <c r="B7" i="7"/>
  <c r="E7" i="7"/>
  <c r="C6" i="7"/>
  <c r="B43" i="6"/>
  <c r="B45" i="6"/>
  <c r="D6" i="7"/>
  <c r="D23" i="7" l="1"/>
  <c r="D24" i="7"/>
  <c r="F43" i="6"/>
  <c r="H43" i="6" s="1"/>
  <c r="H45" i="6"/>
  <c r="D22" i="7" l="1"/>
  <c r="B22" i="4"/>
  <c r="C22" i="4"/>
  <c r="D22" i="4"/>
  <c r="E22" i="4"/>
  <c r="F22" i="4"/>
  <c r="B23" i="4"/>
  <c r="C23" i="4"/>
  <c r="D23" i="4"/>
  <c r="E23" i="4"/>
  <c r="F23" i="4"/>
  <c r="F24" i="4"/>
  <c r="H24" i="4" s="1"/>
  <c r="B25" i="4"/>
  <c r="C25" i="4"/>
  <c r="D25" i="4"/>
  <c r="E25" i="4"/>
  <c r="F25" i="4"/>
  <c r="H6" i="3"/>
  <c r="E9" i="3"/>
  <c r="F9" i="3"/>
  <c r="H9" i="3" s="1"/>
  <c r="E8" i="3" l="1"/>
  <c r="E7" i="3"/>
  <c r="F30" i="5"/>
  <c r="G30" i="5"/>
  <c r="H23" i="4"/>
  <c r="H25" i="4"/>
  <c r="H22" i="4"/>
  <c r="D30" i="5"/>
  <c r="B30" i="5"/>
  <c r="E30" i="5"/>
  <c r="C30" i="5"/>
  <c r="F12" i="2" l="1"/>
  <c r="H12" i="2" s="1"/>
  <c r="E12" i="2"/>
  <c r="D12" i="2"/>
  <c r="C12" i="2"/>
  <c r="B12" i="2"/>
  <c r="F8" i="2"/>
  <c r="H8" i="2" s="1"/>
  <c r="E8" i="2"/>
  <c r="D8" i="2"/>
  <c r="C8" i="2"/>
  <c r="B8" i="2"/>
  <c r="F7" i="2"/>
  <c r="H7" i="2" s="1"/>
  <c r="E7" i="2"/>
  <c r="D7" i="2"/>
  <c r="C7" i="2"/>
  <c r="B7" i="2"/>
  <c r="F6" i="2"/>
  <c r="H6" i="2" s="1"/>
  <c r="E6" i="2"/>
  <c r="D6" i="2"/>
  <c r="C6" i="2"/>
  <c r="B6" i="2"/>
  <c r="F5" i="2"/>
  <c r="H5" i="2" s="1"/>
  <c r="E5" i="2"/>
  <c r="D5" i="2"/>
  <c r="C5" i="2"/>
  <c r="B5" i="2"/>
  <c r="B12" i="14" l="1"/>
  <c r="B13" i="14" s="1"/>
  <c r="B19" i="14"/>
  <c r="B18" i="14"/>
  <c r="B15" i="14"/>
  <c r="B14" i="14"/>
  <c r="B7" i="14" l="1"/>
  <c r="B6" i="14" l="1"/>
  <c r="B9" i="14" s="1"/>
  <c r="B8" i="14" l="1"/>
</calcChain>
</file>

<file path=xl/sharedStrings.xml><?xml version="1.0" encoding="utf-8"?>
<sst xmlns="http://schemas.openxmlformats.org/spreadsheetml/2006/main" count="526" uniqueCount="230">
  <si>
    <t>LIETUVOS RESPUBLIKOS GELEŽINKELIŲ INFRASTRUKTŪROS TINKLAS</t>
  </si>
  <si>
    <t>1 lentelė. Lietuvos geležinkelių infrastruktūros tinklas km ir jo pokytis km, elektrifikuotų geležinkelių kelių dalis proc.</t>
  </si>
  <si>
    <t>Rodiklis</t>
  </si>
  <si>
    <t>2020</t>
  </si>
  <si>
    <t>2021</t>
  </si>
  <si>
    <t>2022</t>
  </si>
  <si>
    <t>2023</t>
  </si>
  <si>
    <t>2024</t>
  </si>
  <si>
    <t>Pokytis per metus</t>
  </si>
  <si>
    <t>Geležinkelių kelių ilgis</t>
  </si>
  <si>
    <t>1520 mm vėžės keliai</t>
  </si>
  <si>
    <t>- iš jų elektrifikuotų geležinkelių kelių ilgis</t>
  </si>
  <si>
    <t>- iš jų elektrifikuotų geležinkelio kelių dalis proc.</t>
  </si>
  <si>
    <t>1435 mm vėžės keliai</t>
  </si>
  <si>
    <t>2 lentelė. Vidutinis traukinio greitis km/val. ir pokytis proc.</t>
  </si>
  <si>
    <t xml:space="preserve">Vidutinis tvarkaraštinis traukinio greitis </t>
  </si>
  <si>
    <t>–</t>
  </si>
  <si>
    <t xml:space="preserve">Vidutinis faktinis traukinio greitis </t>
  </si>
  <si>
    <t>3 lentelė. Viešosios geležinkelių infrastruktūros pajėgumų skyrimo dalis proc.</t>
  </si>
  <si>
    <t>Skirta pajėgumų, vnt. iš viso</t>
  </si>
  <si>
    <t>Viešosios geležinkelių infrastruktūros pajėgumų pagal metines paraiškas dalis</t>
  </si>
  <si>
    <t>50.20%</t>
  </si>
  <si>
    <t>Viešosios geležinkelių infrastruktūros pajėgumų pagal paskutinės minutės paraiškas dalis</t>
  </si>
  <si>
    <t>49.80%</t>
  </si>
  <si>
    <t>LIETUVOS GELEŽINKELIŲ TRANSPORTO PASLAUGŲ RINKA IR DALYVIAI</t>
  </si>
  <si>
    <t>4 lentelė. Lietuvos geležinkelių transporto paslaugų rinkos dalyviai vnt. ir pokytis vnt.</t>
  </si>
  <si>
    <t>Viešosios geležinkelių infrastruktūros valdytojas</t>
  </si>
  <si>
    <t>Faktiškai veiklą vykdžiusios geležinkelio įmonės (vežėjai)</t>
  </si>
  <si>
    <t>- iš jų krovinių vežėjų</t>
  </si>
  <si>
    <t>- iš jų keleivių vežėjų</t>
  </si>
  <si>
    <t>Paslaugas teikiantys geležinkelių paslaugų įrenginių operatoriai</t>
  </si>
  <si>
    <t xml:space="preserve">FAKTINĖ DARBO APIMTIS </t>
  </si>
  <si>
    <t>5 lentelė. Geležinkelio įmonių (vežėjų) faktinė darbo apimtis mlrd. bendraisiais bruto tkm ir pokytis proc.</t>
  </si>
  <si>
    <t>Faktinė darbo apimtis</t>
  </si>
  <si>
    <t xml:space="preserve">    Keleivių vežėjo</t>
  </si>
  <si>
    <t xml:space="preserve">        - iš jų vietiniais maršrutais</t>
  </si>
  <si>
    <t xml:space="preserve">        - iš jų tarptautiniais maršrutais</t>
  </si>
  <si>
    <t xml:space="preserve">   Krovinių vežėjų</t>
  </si>
  <si>
    <t>*2019 m. duomenys pagal vietinių ir tarptautinių maršrutų detalumą nebuvo apskaitomi</t>
  </si>
  <si>
    <t>6 lentelė. Geležinkelio įmonių (vežėjų) faktinė darbo apimtis pagal kryptis mlrd. bendraisiais bruto tkm ir pokytis proc.</t>
  </si>
  <si>
    <t>2019*</t>
  </si>
  <si>
    <t xml:space="preserve">    - iš jų vietiniais maršrutais</t>
  </si>
  <si>
    <t xml:space="preserve">    - iš jų tarptautiniais maršrutais</t>
  </si>
  <si>
    <t>*2019 m. duomenys pagal vietinių ir tarptautinių maršrutų detalumą nebuvo apskaitomi.</t>
  </si>
  <si>
    <t>7 lentelė. Geležinkelio įmonių (vežėjų) užimamos rinkos dalys pagal faktinę darbo apimtį proc. ir jų pokytis proc. punktais</t>
  </si>
  <si>
    <t>Geležinkelio įmonė (vežėjas)</t>
  </si>
  <si>
    <t>AB „LTG Cargo“</t>
  </si>
  <si>
    <t>UAB „LTG Link“</t>
  </si>
  <si>
    <t>UAB „Gargždų geležinkelis"</t>
  </si>
  <si>
    <t>AB „Akmenės cementas“</t>
  </si>
  <si>
    <t>UAB „Transachema“</t>
  </si>
  <si>
    <t>ORLEN Kolej sp. z o. o.</t>
  </si>
  <si>
    <t>TRAUKINIŲ EISMAS</t>
  </si>
  <si>
    <t>8 lentelė. Traukinių eismas mln. traukinio km ir pokytis proc.</t>
  </si>
  <si>
    <t>Traukinių eismas</t>
  </si>
  <si>
    <t xml:space="preserve">    Krovinių vežėjų</t>
  </si>
  <si>
    <t>9 lentelė. Geležinkelio įmonių (vežėjų) užimamos rinkos dalys pagal traukinių eismą proc. ir jų pokytis proc. punktais</t>
  </si>
  <si>
    <t>UAB „Transachema“*</t>
  </si>
  <si>
    <t>ORLEN Kolej sp. z o. o.*</t>
  </si>
  <si>
    <t>*2023 m. nevykdė geležinkelio įmonės (vežėjo) veiklos.</t>
  </si>
  <si>
    <t>10 lentelė. Traukinių eismas pagal traukos rūšį mln. traukinio km, proc. ir pokytis proc.</t>
  </si>
  <si>
    <t>Elektrine trauka</t>
  </si>
  <si>
    <t>- iš jų keleivių vežimas</t>
  </si>
  <si>
    <t>- iš jų krovinių vežimas</t>
  </si>
  <si>
    <t>Ne elektrine</t>
  </si>
  <si>
    <t>KROVINIŲ VEŽIMO RINKA</t>
  </si>
  <si>
    <t>11 lentelė. Krovinių vežimo paslaugų apimtis mlrd. neto tkm ir pokytis proc.</t>
  </si>
  <si>
    <t>Krovinių vežimo apimtis</t>
  </si>
  <si>
    <t xml:space="preserve">   Vietiniais maršrutais</t>
  </si>
  <si>
    <t xml:space="preserve">  Tarptautiniais maršrutais</t>
  </si>
  <si>
    <t xml:space="preserve">     - iš jų tranzitu</t>
  </si>
  <si>
    <t>12 lentelė. Geležinkelio įmonių (vežėjų) užimamos krovinių vežimo rinkos dalys pagal faktinę darbo apimtį proc. ir jų pokytis proc. punktais</t>
  </si>
  <si>
    <t>13 lentelė*. Pervežtas krovinių kiekis, mln. t, krovinių vežimo apimtis intermodaliniu transportu mln. neto tkm ir pokytis proc.</t>
  </si>
  <si>
    <t>Pervežtas krovinių kiekis</t>
  </si>
  <si>
    <t>Krovinių vežimo apimtis intermodaliniu transportu</t>
  </si>
  <si>
    <t>*Šaltinis: https://osp.stat.gov.lt/gelezinkeliu-transporto-rodikliai</t>
  </si>
  <si>
    <t>KELEIVIŲ VEŽIMO RINKA</t>
  </si>
  <si>
    <t>14 lentelė. Keleivių, bagažo vežimo paslaugų apimtis mln. keleivio km ir pokytis proc.</t>
  </si>
  <si>
    <t>Keleivinių traukinių eismas</t>
  </si>
  <si>
    <t xml:space="preserve">   - iš jų tranzitu</t>
  </si>
  <si>
    <t>15 lentelė. Pervežtų keleivių skaičius mln. vnt. ir pokytis proc.</t>
  </si>
  <si>
    <t>Pervežtų keleivių skaičius</t>
  </si>
  <si>
    <t xml:space="preserve">GELEŽINKELIŲ TRANSPORTO PASLAUGŲ RINKOS DALYVIŲ DARBUOTOJAI </t>
  </si>
  <si>
    <t>16 lentelė. Geležinkelių transporto paslaugų rinkos dalyvių darbuotojų skaičius vnt. ir pokytis proc.</t>
  </si>
  <si>
    <t>Darbuotojų skaičius</t>
  </si>
  <si>
    <t xml:space="preserve">   Geležinkelio įmonių (vežėjų) darbuotojų skaičius</t>
  </si>
  <si>
    <t>- iš jų moterys</t>
  </si>
  <si>
    <t>- iš jų vyrai</t>
  </si>
  <si>
    <t xml:space="preserve">   Mašinistai</t>
  </si>
  <si>
    <t xml:space="preserve">   Viešosios geležinkelių infrastruktūros valdytojo darbuotojų skaičius</t>
  </si>
  <si>
    <t xml:space="preserve">   Darbuotojų, susijusių su geležinkelių paslaugų įrenginių veikla, skaičius etato ekvivalentais*</t>
  </si>
  <si>
    <t>*Nuo 2023 m. atsirado prievolė geležinkelių paslaugų operatoriams teikti duomenis, todėl padidėjo surenkamų duomenų apimtis.</t>
  </si>
  <si>
    <t>17 lentelė. Geležinkelio įmonių (vežėjų) darbuotojų pasiskirstymas vnt. ir proc. ir pokytis proc.</t>
  </si>
  <si>
    <t>Geležinkelio įmonių (vežėjų) darbuotojų skaičius</t>
  </si>
  <si>
    <t xml:space="preserve">      Keleivių vežimas</t>
  </si>
  <si>
    <t xml:space="preserve">      Keleivių vežėjų darbuotojų dalis</t>
  </si>
  <si>
    <t xml:space="preserve">     Krovinių vežimas</t>
  </si>
  <si>
    <t xml:space="preserve">     Krovinių vežėjų darbuotojų dalis</t>
  </si>
  <si>
    <t>18 lentelė. Krovinių vežimo apimtys vienam krovinių geležinkelio įmonės (vežėjo) darbuotojui neto tkm, mln. ir pokytis proc.</t>
  </si>
  <si>
    <t>Krovinių vežimo apimtis, iš viso, neto tkm</t>
  </si>
  <si>
    <t>Krovinių vežimo apimtys vienam krovinių geležinkelio įmonės (vežėjo) darbuotojui</t>
  </si>
  <si>
    <t>GELEŽINKELIO ĮMONIŲ (VEŽĖJŲ) SUMOKĖTI UŽMOKESČIAI UŽ NAUDOJIMĄSI VIEŠĄJA GELEŽINKELIŲ INFRASTRUKTŪRA</t>
  </si>
  <si>
    <t>19 lentelė. Geležinkelio įmonių (vežėjų) mokamų užmokesčių už minimalųjį prieigos paketą įmokų tarifai ir pokytis proc.</t>
  </si>
  <si>
    <t>Traukinių eismo įmokos tarifas (Eur/tkm bruto)</t>
  </si>
  <si>
    <t>Kontaktinio elektros tinklo naudojimo tarifas (Eur/trauk. km)</t>
  </si>
  <si>
    <t>Rinkos segmentų, kuriems taikomi antkainiai, įmokos (-a) tarifai (taikoma iki 2023–2024 m. tarnybinio traukinių tvarkaraščio):</t>
  </si>
  <si>
    <t>Krautų ir tuščių konteinerių, puspriekabių ir kitų įvairiarūšių talpyklų vežimo užmokesčio tarifas (Eur/tkm neto)</t>
  </si>
  <si>
    <t>Pavojingųjų krovinių vežimo užmokesčio tarifas (Eur/tkm neto)</t>
  </si>
  <si>
    <t>Mažos vertės krovinių vežimo užmokesčio tarifas (Eur/tkm neto)</t>
  </si>
  <si>
    <t>Kitų krovinių vežimo užmokesčio tarifas (Eur/tkm neto)</t>
  </si>
  <si>
    <t>Rinkos segmentų, kuriems taikomi antkainiai, įmokos (-a) tarifai (taikomi nuo 2023–2024 m. tarnybinio traukinių tvarkaraščio):</t>
  </si>
  <si>
    <t>Anglies ir kokso krovinių vežimo įmokos tarifas (Eur/tkm neto)</t>
  </si>
  <si>
    <t xml:space="preserve"> - iš jų krovinių vežimo vietiniu maršrutu</t>
  </si>
  <si>
    <t xml:space="preserve"> - iš jų krovinių vežimo ES maršrutu </t>
  </si>
  <si>
    <t>Metalų ir naudingų iškasenų krovinių vežimo įmokos tarifas (Eur/tkm neto)</t>
  </si>
  <si>
    <t>Benzino ir kitų degalų krovinių vežimo įmokos tarifas (Eur/tkm neto)</t>
  </si>
  <si>
    <t>Cheminių medžiagų krovinių vežimo įmokos tarifas (Eur/tkm neto)</t>
  </si>
  <si>
    <t>Įvairiarūšio transporto krovinių vežimo įmokos tarifas (Eur/tkm neto)</t>
  </si>
  <si>
    <t>Plataus vartojimo ir pramoninių prekių krovinių vežimo įmokos tarifas (Eur/tkm neto)</t>
  </si>
  <si>
    <t>Žemės ūkio prekių krovinių vežimo įmokos tarifas (Eur/tkm neto)</t>
  </si>
  <si>
    <t>Kitų krovinių vežimo įmokos tarifas (Eur/tkm neto)</t>
  </si>
  <si>
    <t>Krovinių vežimo geležinkelių transportu paslaugų 1 520 mm pločio vėžės geležinkelių tinkle, kai kroviniai vežami iš trečiųjų šalių ar į jas įmokos tarifas (Eur/tkm bruto)</t>
  </si>
  <si>
    <t>20 lentelė. Geležinkelio įmonių (vežėjų) sumokėti užmokesčiai už naudojimąsi viešąją geležinkelių infrastruktūra mln. Eur, jų dalis ir pokytis proc.</t>
  </si>
  <si>
    <t>Geležinkelio įmonių (vežėjų) sumokėti užmokesčiai už naudojimąsi viešąją geležinkelių infrastruktūra</t>
  </si>
  <si>
    <t xml:space="preserve">   Keleivių vežimas</t>
  </si>
  <si>
    <t xml:space="preserve">   Keleivių vežimo dalis</t>
  </si>
  <si>
    <t xml:space="preserve">   Krovinių vežimas</t>
  </si>
  <si>
    <t xml:space="preserve">   Krovinių vežimo dalis</t>
  </si>
  <si>
    <t>21 lentelė. Geležinkelio įmonių (vežėjų) sumokėti užmokesčiai už naudojimąsi viešąją geležinkelių infrastruktūra mln. Eur ir pokytis proc.</t>
  </si>
  <si>
    <t xml:space="preserve">    - eismo įmokos</t>
  </si>
  <si>
    <t xml:space="preserve">    - kontaktinis tinklas</t>
  </si>
  <si>
    <t xml:space="preserve">    - užmokesčiai už užmokesčio už minimalųjį prieigos paketą, didesni negu išlaidos, tiesiogiai patiriamos dėl traukinių eksploatavimo</t>
  </si>
  <si>
    <t xml:space="preserve">    - tranzito paslaugoms teikti</t>
  </si>
  <si>
    <t xml:space="preserve">  Krovinių vežimas</t>
  </si>
  <si>
    <t>22 lentelė. Vidutinė geležinkelio įmonės (vežėjo) užmokesčio už minimalųjį prieigos paketą įmoka Eur/tkm bruto ir pokytis proc.</t>
  </si>
  <si>
    <t xml:space="preserve">Vidutinė geležinkelio įmonės (vežėjo) užmokesčio už minimalųjį prieigos paketą įmoka </t>
  </si>
  <si>
    <t>2024*</t>
  </si>
  <si>
    <t>Bendra visame LR geležinkelių tinkle</t>
  </si>
  <si>
    <t>Keleivių vežimas</t>
  </si>
  <si>
    <t>Krovinių vežimas</t>
  </si>
  <si>
    <t>*2019–2023 m. duomenys nurodyti su tranzitu, o nuo 2024 m. be tranzito, nes nuo 2024 m. pasikeitė teisinis reglamentavimas ir tranzitas nėra vežėjų mokamų UMPP dalis.</t>
  </si>
  <si>
    <t>VIEŠOSIOS GELEŽINKELIŲ INFRASTRUKTŪROS VALDYTOJO PAJAMOS IR IŠLAIDOS</t>
  </si>
  <si>
    <t xml:space="preserve">23 lentelė. Viešosios geležinkelių infrastruktūros valdytojo pajamos gautos iš užmokesčių už minimalųjį prieigos paketą ir tranzitą mln. Eur ir pokytis proc. </t>
  </si>
  <si>
    <t>Viešosios geležinkelių infrastruktūros valdytojo pajamos</t>
  </si>
  <si>
    <t xml:space="preserve">   - iš užmokesčio už minimalųjį prieigos paketą </t>
  </si>
  <si>
    <t>-  iš tranzito</t>
  </si>
  <si>
    <t>24 lentelė. Viešosios geležinkelių infrastruktūros valdytojo techninės priežiūros, atnaujinimo, modernizavimo ir naujos infrastruktūros išlaidos mln. Eur, jų dalis proc. ir pokytis proc.</t>
  </si>
  <si>
    <t>Viešosios geležinkelių infrastruktūros valdytojo išlaidos</t>
  </si>
  <si>
    <t xml:space="preserve">   - techninė priežiūra</t>
  </si>
  <si>
    <t xml:space="preserve">   - atnaujinimas</t>
  </si>
  <si>
    <t xml:space="preserve">   - modernizavimas</t>
  </si>
  <si>
    <t xml:space="preserve">   - nauja infrastruktūra</t>
  </si>
  <si>
    <t>GELEŽINKELIO ĮMONIŲ (VEŽĖJŲ) PAJAMOS IR IŠLAIDOS</t>
  </si>
  <si>
    <t>25 lentelė. Geležinkelio įmonių (vežėjų) pajamos, gautos iš keleivių ir krovinių vežimo veiklos, išlaidos, mln. Eur, proc.</t>
  </si>
  <si>
    <t>Geležinkelio įmonių (vežėjų) gautos pajamos</t>
  </si>
  <si>
    <t xml:space="preserve">   - iš jų nuostolių kompensavimas</t>
  </si>
  <si>
    <t>Geležinkelio įmonių (vežėjų) išlaidos</t>
  </si>
  <si>
    <t>202.50</t>
  </si>
  <si>
    <t>192.90</t>
  </si>
  <si>
    <t>163.90</t>
  </si>
  <si>
    <t>105.10</t>
  </si>
  <si>
    <t>- iš jų sumokėti užmokesčiai už minimalųjį prieigos paketą</t>
  </si>
  <si>
    <t xml:space="preserve"> - iš jų sumokėti mokesčiai už tranzitą</t>
  </si>
  <si>
    <t>TRAUKINIŲ PUNKTUALUMAS</t>
  </si>
  <si>
    <t>26 lentelė. Traukinių punktualumas ir atšaukimas vnt.</t>
  </si>
  <si>
    <t>Tarnybiniame traukinių tvarkaraštyje numatytų traukinių skaičius</t>
  </si>
  <si>
    <t>- iš jų keleiviniai traukiniai</t>
  </si>
  <si>
    <t>- iš jų krovininiai traukiniai</t>
  </si>
  <si>
    <t>Laiku atvykusių traukinių skaičius</t>
  </si>
  <si>
    <t>- iš jų keleiviniai traukiniai (ne didesnis kaip 5 min. vėlavimas)</t>
  </si>
  <si>
    <t>- iš jų krovininiai traukiniai (ne didesnis kaip 15 min. vėlavimas)</t>
  </si>
  <si>
    <t>Atšauktų paslaugų skaičius*</t>
  </si>
  <si>
    <t xml:space="preserve">n.a. </t>
  </si>
  <si>
    <t>Atšauktų traukinių skaičius**</t>
  </si>
  <si>
    <t>*2019–2023 m. nurodytos atšauktos paslaugos, kurių paprašė ir atsisakė pačios geležinkelio įmonės (vežėjai). Nuo 2024 m. dėl pasikeitusio teisinio reglamentavimo nurodyti skirti bet nepanaudoti pajėgumai (skirtas pajėgumas yra nepanaudotas, jei traukinys pagal skirtą pajėgumą nevažiavo).</t>
  </si>
  <si>
    <t>**Traukinio atšaukimas – tarnybiniame traukinių tvarkaraštyje nustatyto traukinio neišvykimas iš pradinės geležinkelio stoties, išvykusio traukinio nenuvykimas iki tarnybiniame traukinių tvarkaraštyje nustatytos galinės geležinkelio stoties arba iki Lietuvos valstybės sienos, kai traukinys išvyksta iš Lietuvos Respublikos teritorijos, išskyrus atvejus, kai įmonė nepasinaudoja jai suteikta traukinio linija savo iniciatyva ir  kai keleiviniam traukiniui nenuvykus iki galinės stoties keleiviai yra pristatomi į galinę geležinkelio stotį viešosios geležinkelių infrastruktūros valdytojo organizuotu kitu transportu.</t>
  </si>
  <si>
    <t>26.1 lentelė. Traukinių punktualumas proc. ir jų pokytis proc. punktais</t>
  </si>
  <si>
    <t>Traukinių punktualumas</t>
  </si>
  <si>
    <t xml:space="preserve">     Laiku atvykę keleiviniai traukiniai</t>
  </si>
  <si>
    <t xml:space="preserve">     Laiku atvykę krovininiai traukiniai</t>
  </si>
  <si>
    <t>GELEŽINKELIŲ PASLAUGŲ ĮRENGINIAI IR JŲ PANAUDOJIMAS</t>
  </si>
  <si>
    <t>27 lentelė. Geležinkelių paslaugų įrenginių skaičius vnt.</t>
  </si>
  <si>
    <t>Geležinkelių paslaugų įrenginiai</t>
  </si>
  <si>
    <t xml:space="preserve">   Keleivių geležinkelio stotys, jų pastatai ir kiti įrenginiai, kelionių informacijos skelbimo ir bilietų įsigijimo paslaugai teikti tinkamos vietos*</t>
  </si>
  <si>
    <t>- iš jų aptarnaujančios daugiau nei 25 tūkst. keleivių per dieną</t>
  </si>
  <si>
    <t>- iš jų aptarnaujančios 10–25 tūkst. keleivių per dieną</t>
  </si>
  <si>
    <t>- iš jų aptarnaujančios 1–10 tūkst. keleivių per dieną</t>
  </si>
  <si>
    <t>- iš jų aptarnaujančios iki 1 tūkst. keleivių per dieną</t>
  </si>
  <si>
    <t xml:space="preserve">   Krovos terminalai</t>
  </si>
  <si>
    <t>- iš jų intermodaliniai terminalai</t>
  </si>
  <si>
    <t>- iš jų TEN-T koridoriuose</t>
  </si>
  <si>
    <t>- iš jų jūrų uostuose</t>
  </si>
  <si>
    <t xml:space="preserve">   Kaupiamieji kelynai, traukinių formavimo ir manevravimo įrenginiai</t>
  </si>
  <si>
    <t xml:space="preserve">   Postovio geležinkelio keliai</t>
  </si>
  <si>
    <t xml:space="preserve">   Geležinkelių riedmenų techninės priežiūros įrenginiai, išskyrus įrenginius, skirtus greitųjų traukinių ar kitų rūšių geležinkelių riedmenų, kuriems reikalingi specialieji įrenginiai, didelio masto geležinkelių riedmenų techninei priežiūrai atlikti</t>
  </si>
  <si>
    <t xml:space="preserve">   Kiti techniniai įrenginiai, valymo ir plovimo įrenginiai</t>
  </si>
  <si>
    <t xml:space="preserve">   Jūrų ir vidaus vandenų uostų įrenginiai</t>
  </si>
  <si>
    <t xml:space="preserve">   Techninės pagalbos įrenginiai</t>
  </si>
  <si>
    <t xml:space="preserve">   Kuro pildymo įrenginiai</t>
  </si>
  <si>
    <t xml:space="preserve">   Kiti geležinkelių paslaugų įrenginiai, kuriuose teikiamos papildomos ir pagalbinės paslaugos</t>
  </si>
  <si>
    <t>*2024 m. nurodytos AB „LTG Infra“, kaip geležinkelių paslaugų įrenginių operatoriaus, valdomos keleivių geležinkelio stotys, kurios yra apskaitoje kaip geležinkelių paslaugų įrenginiai (nors ir ne visose iš jų buvo teikiamos geležinkelių paslaugų įrenginių paslaugos (t. y. ne visose keleivių geležinkelio stotyse stoto keleiviniai traukiniai).</t>
  </si>
  <si>
    <t>**Nuo 2023 m. atsirado prievolė geležinkelių paslaugų operatoriams teikti duomenis, todėl padidėjo surenkamų duomenų apimtis.</t>
  </si>
  <si>
    <t>28 lentelė. Intermodalinių krovos terminalų krovos pajėgumas TEU/per metus ir panaudojimas proc.</t>
  </si>
  <si>
    <t>Maksimalus valdytojo intermodalinių krovos terminalų krovos pajėgumas TEU/per metus</t>
  </si>
  <si>
    <t>Faktinė intermodalinių krovos terminalų krova TEU/per metus</t>
  </si>
  <si>
    <t>Panaudojimas</t>
  </si>
  <si>
    <t>LIETUVOS GELEŽINKELIŲ TRANSPORTO PASLAUGŲ RINKOS PALYGINIMAS SU KITOMIS BALTIJOS REGIONO VALSTYBĖMIS</t>
  </si>
  <si>
    <t>29 lentelė. Geležinkelių transporto paslaugų rinka Baltijos regione</t>
  </si>
  <si>
    <t>Lietuva</t>
  </si>
  <si>
    <t>Estija</t>
  </si>
  <si>
    <t>Latvija</t>
  </si>
  <si>
    <t>Lenkija</t>
  </si>
  <si>
    <t>Suomija</t>
  </si>
  <si>
    <t>Geležinkelio kelių ilgis, km</t>
  </si>
  <si>
    <t>- iš jų elektrifikuoti keliai, km</t>
  </si>
  <si>
    <t>- elektrifikuotų kelių dalis, proc.</t>
  </si>
  <si>
    <t>Bendro geležinkelių kelių ilgio ir šalies ploto santykis</t>
  </si>
  <si>
    <t>Keleivių vežėjų skaičius</t>
  </si>
  <si>
    <t>Krovinių vežėjų skaičius</t>
  </si>
  <si>
    <t>Pervežta keleivių, mln. vnt.</t>
  </si>
  <si>
    <t>Keleivių ir šalies gyventojų skaičiaus (mln.) santykis</t>
  </si>
  <si>
    <t>Keleivinių traukinių eismas, mln. traukinio km</t>
  </si>
  <si>
    <t>Keleivinių traukinių eismas, mln. keleivio km</t>
  </si>
  <si>
    <t>Pervežta krovinių, mln. t</t>
  </si>
  <si>
    <t>Pervežtų krovinių kiekio ir šalies ekonomikos dydžio (mlrd. USD) santykis</t>
  </si>
  <si>
    <t>Krovininių traukinių eismas, mln. traukinio km</t>
  </si>
  <si>
    <t>Krovininių traukinių eismas, mln. neto tkm</t>
  </si>
  <si>
    <t>Šalies plotas, km2 (2024)</t>
  </si>
  <si>
    <t>Gyventojų skaičius, mln. (2024 m.)</t>
  </si>
  <si>
    <t>BVP, mlrd. USD (2023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</si>
</sst>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
    <numFmt numFmtId="166" formatCode="0.0000"/>
    <numFmt numFmtId="167" formatCode="#,##0.0"/>
    <numFmt numFmtId="168" formatCode="0.0"/>
    <numFmt numFmtId="169" formatCode="#,##0.0000"/>
    <numFmt numFmtId="170" formatCode="#,##0.000"/>
    <numFmt numFmtId="171" formatCode="#\ ##0.00,,,"/>
  </numFmts>
  <fonts count="56">
    <font>
      <sz val="11"/>
      <color theme="1"/>
      <name val="Calibri"/>
      <family val="2"/>
      <scheme val="minor"/>
    </font>
    <font>
      <sz val="11"/>
      <color theme="1"/>
      <name val="Calibri"/>
      <family val="2"/>
      <charset val="186"/>
      <scheme val="minor"/>
    </font>
    <font>
      <b/>
      <sz val="11"/>
      <color theme="1"/>
      <name val="Calibri"/>
      <family val="2"/>
      <charset val="186"/>
      <scheme val="minor"/>
    </font>
    <font>
      <sz val="11"/>
      <color theme="1"/>
      <name val="Calibri"/>
      <family val="2"/>
      <charset val="186"/>
      <scheme val="minor"/>
    </font>
    <font>
      <sz val="11"/>
      <name val="Calibri"/>
      <family val="2"/>
      <charset val="186"/>
      <scheme val="minor"/>
    </font>
    <font>
      <b/>
      <sz val="11"/>
      <name val="Calibri"/>
      <family val="2"/>
      <charset val="186"/>
      <scheme val="minor"/>
    </font>
    <font>
      <sz val="11"/>
      <color rgb="FFFF0000"/>
      <name val="Calibri"/>
      <family val="2"/>
      <charset val="186"/>
      <scheme val="minor"/>
    </font>
    <font>
      <sz val="11"/>
      <color theme="5" tint="-0.249977111117893"/>
      <name val="Calibri"/>
      <family val="2"/>
      <charset val="186"/>
      <scheme val="minor"/>
    </font>
    <font>
      <sz val="12"/>
      <color theme="1"/>
      <name val="Times New Roman"/>
      <family val="1"/>
      <charset val="186"/>
    </font>
    <font>
      <sz val="11"/>
      <color rgb="FFFF0000"/>
      <name val="Calibri"/>
      <family val="2"/>
      <scheme val="minor"/>
    </font>
    <font>
      <sz val="11"/>
      <name val="Calibri"/>
      <family val="2"/>
      <scheme val="minor"/>
    </font>
    <font>
      <sz val="11"/>
      <color theme="0" tint="-0.249977111117893"/>
      <name val="Calibri"/>
      <family val="2"/>
      <scheme val="minor"/>
    </font>
    <font>
      <b/>
      <sz val="11"/>
      <color rgb="FFC00000"/>
      <name val="Calibri"/>
      <family val="2"/>
      <charset val="186"/>
      <scheme val="minor"/>
    </font>
    <font>
      <sz val="11"/>
      <color theme="5"/>
      <name val="Calibri"/>
      <family val="2"/>
      <charset val="186"/>
      <scheme val="minor"/>
    </font>
    <font>
      <b/>
      <sz val="11"/>
      <color rgb="FFFF0000"/>
      <name val="Calibri"/>
      <family val="2"/>
      <charset val="186"/>
      <scheme val="minor"/>
    </font>
    <font>
      <b/>
      <sz val="11"/>
      <name val="Calibri"/>
      <family val="2"/>
      <scheme val="minor"/>
    </font>
    <font>
      <sz val="11"/>
      <color rgb="FF000000"/>
      <name val="Calibri"/>
      <family val="2"/>
      <scheme val="minor"/>
    </font>
    <font>
      <sz val="11"/>
      <color rgb="FF000000"/>
      <name val="Calibri "/>
    </font>
    <font>
      <sz val="11"/>
      <color theme="1"/>
      <name val="Calibri "/>
    </font>
    <font>
      <b/>
      <sz val="9"/>
      <color rgb="FFE26B0A"/>
      <name val="Calibri "/>
    </font>
    <font>
      <sz val="9"/>
      <color rgb="FF000000"/>
      <name val="Calibri "/>
    </font>
    <font>
      <b/>
      <sz val="9"/>
      <name val="Calibri "/>
    </font>
    <font>
      <sz val="9"/>
      <name val="Calibri "/>
    </font>
    <font>
      <sz val="9"/>
      <color theme="1"/>
      <name val="Calibri "/>
    </font>
    <font>
      <b/>
      <sz val="9"/>
      <color rgb="FF000000"/>
      <name val="Calibri "/>
    </font>
    <font>
      <b/>
      <sz val="11"/>
      <color rgb="FFE26B0A"/>
      <name val="Calibri"/>
      <family val="2"/>
      <charset val="186"/>
      <scheme val="minor"/>
    </font>
    <font>
      <b/>
      <sz val="11"/>
      <color theme="0" tint="-0.14999847407452621"/>
      <name val="Calibri"/>
      <family val="2"/>
      <scheme val="minor"/>
    </font>
    <font>
      <sz val="11"/>
      <color theme="0" tint="-0.14999847407452621"/>
      <name val="Calibri"/>
      <family val="2"/>
      <scheme val="minor"/>
    </font>
    <font>
      <b/>
      <sz val="11"/>
      <color theme="0" tint="-0.14999847407452621"/>
      <name val="Calibri"/>
      <family val="2"/>
      <charset val="186"/>
      <scheme val="minor"/>
    </font>
    <font>
      <sz val="11"/>
      <color theme="0" tint="-0.14999847407452621"/>
      <name val="Calibri"/>
      <family val="2"/>
      <charset val="186"/>
      <scheme val="minor"/>
    </font>
    <font>
      <sz val="11"/>
      <color theme="0" tint="-0.499984740745262"/>
      <name val="Calibri"/>
      <family val="2"/>
      <charset val="186"/>
      <scheme val="minor"/>
    </font>
    <font>
      <u/>
      <sz val="11"/>
      <color theme="10"/>
      <name val="Calibri"/>
      <family val="2"/>
      <charset val="186"/>
      <scheme val="minor"/>
    </font>
    <font>
      <sz val="11"/>
      <color theme="0" tint="-4.9989318521683403E-2"/>
      <name val="Calibri"/>
      <family val="2"/>
      <scheme val="minor"/>
    </font>
    <font>
      <strike/>
      <sz val="11"/>
      <color rgb="FFFF0000"/>
      <name val="Calibri "/>
    </font>
    <font>
      <strike/>
      <sz val="11"/>
      <color rgb="FFFF0000"/>
      <name val="Calibri"/>
      <family val="2"/>
      <charset val="186"/>
      <scheme val="minor"/>
    </font>
    <font>
      <strike/>
      <sz val="11"/>
      <color theme="1"/>
      <name val="Calibri"/>
      <family val="2"/>
      <charset val="186"/>
      <scheme val="minor"/>
    </font>
    <font>
      <b/>
      <strike/>
      <sz val="11"/>
      <color rgb="FFFF0000"/>
      <name val="Calibri"/>
      <family val="2"/>
      <charset val="186"/>
      <scheme val="minor"/>
    </font>
    <font>
      <strike/>
      <sz val="11"/>
      <color theme="1"/>
      <name val="Calibri "/>
    </font>
    <font>
      <b/>
      <sz val="11"/>
      <color theme="5"/>
      <name val="Calibri"/>
      <family val="2"/>
      <charset val="186"/>
      <scheme val="minor"/>
    </font>
    <font>
      <strike/>
      <sz val="11"/>
      <color rgb="FFFF0000"/>
      <name val="Calibri"/>
      <family val="2"/>
      <scheme val="minor"/>
    </font>
    <font>
      <strike/>
      <sz val="11"/>
      <name val="Calibri"/>
      <family val="2"/>
      <scheme val="minor"/>
    </font>
    <font>
      <b/>
      <sz val="11"/>
      <name val="Calibri"/>
      <family val="2"/>
      <charset val="186"/>
    </font>
    <font>
      <i/>
      <sz val="11"/>
      <name val="Calibri"/>
      <family val="2"/>
      <charset val="186"/>
      <scheme val="minor"/>
    </font>
    <font>
      <b/>
      <sz val="9"/>
      <color theme="1"/>
      <name val="Calibri "/>
    </font>
    <font>
      <sz val="11"/>
      <color rgb="FFFF0000"/>
      <name val="Calibri "/>
    </font>
    <font>
      <sz val="10"/>
      <color theme="1"/>
      <name val="Calibri"/>
      <family val="2"/>
      <charset val="186"/>
      <scheme val="minor"/>
    </font>
    <font>
      <strike/>
      <sz val="9"/>
      <color rgb="FFFF0000"/>
      <name val="Calibri "/>
    </font>
    <font>
      <b/>
      <strike/>
      <sz val="11"/>
      <color rgb="FFE26B0A"/>
      <name val="Calibri"/>
      <family val="2"/>
      <charset val="186"/>
      <scheme val="minor"/>
    </font>
    <font>
      <b/>
      <strike/>
      <sz val="11"/>
      <color theme="1"/>
      <name val="Calibri"/>
      <family val="2"/>
      <charset val="186"/>
      <scheme val="minor"/>
    </font>
    <font>
      <strike/>
      <sz val="11"/>
      <name val="Calibri"/>
      <family val="2"/>
      <charset val="186"/>
      <scheme val="minor"/>
    </font>
    <font>
      <sz val="11"/>
      <color rgb="FF000000"/>
      <name val="Calibri"/>
      <family val="2"/>
      <charset val="186"/>
    </font>
    <font>
      <sz val="9"/>
      <name val="Calibri"/>
      <family val="2"/>
      <charset val="186"/>
    </font>
    <font>
      <strike/>
      <sz val="11"/>
      <color theme="0" tint="-0.14999847407452621"/>
      <name val="Calibri"/>
      <family val="2"/>
      <charset val="186"/>
      <scheme val="minor"/>
    </font>
    <font>
      <sz val="11"/>
      <color rgb="FF000000"/>
      <name val="Calibri"/>
      <family val="2"/>
    </font>
    <font>
      <b/>
      <sz val="9"/>
      <color rgb="FFFF0000"/>
      <name val="Calibri "/>
    </font>
    <font>
      <b/>
      <sz val="11"/>
      <color theme="1"/>
      <name val="Calibri "/>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6">
    <xf numFmtId="0" fontId="0" fillId="0" borderId="0"/>
    <xf numFmtId="0" fontId="3" fillId="0" borderId="0"/>
    <xf numFmtId="9" fontId="3" fillId="0" borderId="0" applyFont="0" applyFill="0" applyBorder="0" applyAlignment="0" applyProtection="0"/>
    <xf numFmtId="0" fontId="16" fillId="0" borderId="0"/>
    <xf numFmtId="164" fontId="3" fillId="0" borderId="0" applyFont="0" applyFill="0" applyBorder="0" applyAlignment="0" applyProtection="0"/>
    <xf numFmtId="0" fontId="31" fillId="0" borderId="0" applyNumberFormat="0" applyFill="0" applyBorder="0" applyAlignment="0" applyProtection="0"/>
  </cellStyleXfs>
  <cellXfs count="430">
    <xf numFmtId="0" fontId="0" fillId="0" borderId="0" xfId="0"/>
    <xf numFmtId="0" fontId="3" fillId="0" borderId="0" xfId="1"/>
    <xf numFmtId="2" fontId="3" fillId="0" borderId="0" xfId="1" applyNumberFormat="1"/>
    <xf numFmtId="3" fontId="3" fillId="0" borderId="0" xfId="1" applyNumberFormat="1"/>
    <xf numFmtId="0" fontId="3" fillId="0" borderId="1" xfId="1" applyBorder="1"/>
    <xf numFmtId="0" fontId="3" fillId="0" borderId="1" xfId="1" quotePrefix="1" applyBorder="1"/>
    <xf numFmtId="166" fontId="3" fillId="0" borderId="0" xfId="1" applyNumberFormat="1"/>
    <xf numFmtId="168" fontId="3" fillId="0" borderId="0" xfId="1" applyNumberFormat="1"/>
    <xf numFmtId="0" fontId="2" fillId="0" borderId="0" xfId="1" applyFont="1"/>
    <xf numFmtId="167" fontId="7" fillId="0" borderId="0" xfId="1" applyNumberFormat="1" applyFont="1" applyAlignment="1">
      <alignment horizontal="right"/>
    </xf>
    <xf numFmtId="165" fontId="11" fillId="0" borderId="0" xfId="2" applyNumberFormat="1" applyFont="1"/>
    <xf numFmtId="0" fontId="5" fillId="0" borderId="1" xfId="1" applyFont="1" applyBorder="1" applyAlignment="1">
      <alignment horizontal="center" vertical="center"/>
    </xf>
    <xf numFmtId="0" fontId="5" fillId="0" borderId="1" xfId="0" applyFont="1" applyBorder="1" applyAlignment="1">
      <alignment horizontal="center" vertical="center"/>
    </xf>
    <xf numFmtId="0" fontId="12" fillId="0" borderId="0" xfId="1" applyFont="1"/>
    <xf numFmtId="0" fontId="13" fillId="0" borderId="0" xfId="1" applyFont="1"/>
    <xf numFmtId="0" fontId="13" fillId="0" borderId="0" xfId="1" applyFont="1" applyAlignment="1">
      <alignment horizontal="right"/>
    </xf>
    <xf numFmtId="2" fontId="3" fillId="0" borderId="1" xfId="1" applyNumberForma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center" vertical="center"/>
    </xf>
    <xf numFmtId="10" fontId="3" fillId="0" borderId="1" xfId="1" applyNumberFormat="1" applyBorder="1" applyAlignment="1">
      <alignment horizontal="center" vertical="center"/>
    </xf>
    <xf numFmtId="0" fontId="2" fillId="0" borderId="1" xfId="1" applyFont="1" applyBorder="1" applyAlignment="1">
      <alignment horizontal="left" vertical="center"/>
    </xf>
    <xf numFmtId="10" fontId="3" fillId="0" borderId="1" xfId="1" applyNumberFormat="1" applyBorder="1" applyAlignment="1">
      <alignment horizontal="center"/>
    </xf>
    <xf numFmtId="165" fontId="2" fillId="0" borderId="1" xfId="2" applyNumberFormat="1" applyFont="1" applyBorder="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166" fontId="3" fillId="0" borderId="1" xfId="1" applyNumberFormat="1" applyBorder="1" applyAlignment="1">
      <alignment horizontal="center" vertical="center"/>
    </xf>
    <xf numFmtId="0" fontId="4" fillId="0" borderId="1" xfId="1" applyFont="1" applyBorder="1" applyAlignment="1">
      <alignment wrapText="1"/>
    </xf>
    <xf numFmtId="0" fontId="3" fillId="0" borderId="1" xfId="1" applyBorder="1" applyAlignment="1">
      <alignment horizontal="center" vertical="center" wrapText="1"/>
    </xf>
    <xf numFmtId="0" fontId="5" fillId="0" borderId="1" xfId="1" applyFont="1" applyBorder="1"/>
    <xf numFmtId="0" fontId="17" fillId="0" borderId="0" xfId="3" applyFont="1"/>
    <xf numFmtId="0" fontId="18" fillId="0" borderId="0" xfId="0" applyFont="1"/>
    <xf numFmtId="0" fontId="19" fillId="0" borderId="0" xfId="3" applyFont="1"/>
    <xf numFmtId="0" fontId="20" fillId="0" borderId="0" xfId="3" applyFont="1"/>
    <xf numFmtId="0" fontId="21" fillId="0" borderId="1" xfId="3" applyFont="1" applyBorder="1" applyAlignment="1">
      <alignment horizontal="center" vertical="center"/>
    </xf>
    <xf numFmtId="0" fontId="21" fillId="0" borderId="1" xfId="3" applyFont="1" applyBorder="1" applyAlignment="1">
      <alignment horizontal="center" vertical="center" wrapText="1"/>
    </xf>
    <xf numFmtId="0" fontId="22" fillId="0" borderId="1" xfId="3" applyFont="1" applyBorder="1" applyAlignment="1">
      <alignment horizontal="left" vertical="center" wrapText="1"/>
    </xf>
    <xf numFmtId="3" fontId="22" fillId="0" borderId="1" xfId="0" applyNumberFormat="1" applyFont="1" applyBorder="1" applyAlignment="1" applyProtection="1">
      <alignment horizontal="center" vertical="center"/>
      <protection locked="0"/>
    </xf>
    <xf numFmtId="0" fontId="22" fillId="0" borderId="1" xfId="3" applyFont="1" applyBorder="1" applyAlignment="1">
      <alignment horizontal="center" vertical="center"/>
    </xf>
    <xf numFmtId="49" fontId="22" fillId="0" borderId="1" xfId="3" applyNumberFormat="1" applyFont="1" applyBorder="1" applyAlignment="1">
      <alignment horizontal="left" vertical="center" wrapText="1" indent="1"/>
    </xf>
    <xf numFmtId="10" fontId="22" fillId="0" borderId="1" xfId="0" applyNumberFormat="1" applyFont="1" applyBorder="1" applyAlignment="1" applyProtection="1">
      <alignment horizontal="center" vertical="center"/>
      <protection locked="0"/>
    </xf>
    <xf numFmtId="4" fontId="22" fillId="0" borderId="1" xfId="3" applyNumberFormat="1" applyFont="1" applyBorder="1" applyAlignment="1">
      <alignment horizontal="center" vertical="center"/>
    </xf>
    <xf numFmtId="49" fontId="22" fillId="2" borderId="1" xfId="3" applyNumberFormat="1" applyFont="1" applyFill="1" applyBorder="1" applyAlignment="1">
      <alignment horizontal="left" vertical="center" wrapText="1" indent="1"/>
    </xf>
    <xf numFmtId="49" fontId="22" fillId="0" borderId="0" xfId="3" applyNumberFormat="1" applyFont="1" applyAlignment="1">
      <alignment horizontal="left" vertical="center" wrapText="1" indent="1"/>
    </xf>
    <xf numFmtId="3" fontId="22" fillId="0" borderId="0" xfId="0" applyNumberFormat="1" applyFont="1" applyAlignment="1" applyProtection="1">
      <alignment horizontal="center" vertical="center"/>
      <protection locked="0"/>
    </xf>
    <xf numFmtId="0" fontId="22" fillId="0" borderId="0" xfId="3" applyFont="1" applyAlignment="1">
      <alignment horizontal="center" vertical="center"/>
    </xf>
    <xf numFmtId="3" fontId="22" fillId="0" borderId="0" xfId="3" applyNumberFormat="1" applyFont="1" applyAlignment="1">
      <alignment horizontal="center" vertical="center"/>
    </xf>
    <xf numFmtId="0" fontId="23" fillId="0" borderId="0" xfId="0" applyFont="1"/>
    <xf numFmtId="0" fontId="24" fillId="0" borderId="1" xfId="3" applyFont="1" applyBorder="1" applyAlignment="1">
      <alignment horizontal="center" vertical="center"/>
    </xf>
    <xf numFmtId="0" fontId="24" fillId="0" borderId="1" xfId="3" applyFont="1" applyBorder="1" applyAlignment="1">
      <alignment horizontal="center" vertical="center" wrapText="1"/>
    </xf>
    <xf numFmtId="4" fontId="20" fillId="0" borderId="1" xfId="3" applyNumberFormat="1" applyFont="1" applyBorder="1" applyAlignment="1">
      <alignment horizontal="center" vertical="center"/>
    </xf>
    <xf numFmtId="10" fontId="20" fillId="0" borderId="1" xfId="3" applyNumberFormat="1" applyFont="1" applyBorder="1" applyAlignment="1">
      <alignment horizontal="center" vertical="center" wrapText="1"/>
    </xf>
    <xf numFmtId="0" fontId="23" fillId="0" borderId="1" xfId="0" applyFont="1" applyBorder="1" applyAlignment="1">
      <alignment horizontal="center" vertical="center"/>
    </xf>
    <xf numFmtId="0" fontId="20" fillId="0" borderId="1" xfId="3" applyFont="1" applyBorder="1" applyAlignment="1">
      <alignment horizontal="left" vertical="center" wrapText="1"/>
    </xf>
    <xf numFmtId="0" fontId="20" fillId="0" borderId="1" xfId="3" applyFont="1" applyBorder="1" applyAlignment="1">
      <alignment horizontal="center" vertical="center"/>
    </xf>
    <xf numFmtId="49" fontId="20" fillId="0" borderId="1" xfId="3" applyNumberFormat="1" applyFont="1" applyBorder="1" applyAlignment="1">
      <alignment horizontal="left" indent="1"/>
    </xf>
    <xf numFmtId="0" fontId="23" fillId="0" borderId="1" xfId="0" applyFont="1" applyBorder="1" applyAlignment="1">
      <alignment horizontal="center"/>
    </xf>
    <xf numFmtId="0" fontId="23" fillId="0" borderId="1" xfId="0" applyFont="1" applyBorder="1" applyAlignment="1">
      <alignment horizontal="left" vertical="center" wrapText="1"/>
    </xf>
    <xf numFmtId="0" fontId="25" fillId="0" borderId="0" xfId="0" applyFont="1"/>
    <xf numFmtId="168" fontId="16" fillId="0" borderId="0" xfId="3" applyNumberFormat="1"/>
    <xf numFmtId="4" fontId="3" fillId="3" borderId="0" xfId="1" applyNumberFormat="1" applyFill="1"/>
    <xf numFmtId="0" fontId="3" fillId="3" borderId="0" xfId="1" applyFill="1"/>
    <xf numFmtId="10" fontId="3" fillId="3" borderId="0" xfId="1" applyNumberFormat="1" applyFill="1"/>
    <xf numFmtId="0" fontId="5" fillId="3" borderId="1" xfId="1" applyFont="1" applyFill="1" applyBorder="1" applyAlignment="1">
      <alignment horizontal="center" vertical="center"/>
    </xf>
    <xf numFmtId="0" fontId="5" fillId="3" borderId="1" xfId="0" applyFont="1" applyFill="1" applyBorder="1" applyAlignment="1">
      <alignment horizontal="center" vertical="center"/>
    </xf>
    <xf numFmtId="0" fontId="2" fillId="3" borderId="1" xfId="1" applyFont="1" applyFill="1" applyBorder="1" applyAlignment="1">
      <alignment horizontal="center" vertical="center" wrapText="1"/>
    </xf>
    <xf numFmtId="4" fontId="3" fillId="0" borderId="1" xfId="1" applyNumberFormat="1" applyBorder="1" applyAlignment="1">
      <alignment horizontal="center" vertical="center"/>
    </xf>
    <xf numFmtId="0" fontId="3" fillId="3" borderId="1" xfId="1" applyFill="1" applyBorder="1" applyAlignment="1">
      <alignment horizontal="center" vertical="center"/>
    </xf>
    <xf numFmtId="0" fontId="3" fillId="0" borderId="0" xfId="1" quotePrefix="1" applyAlignment="1">
      <alignment horizontal="left" vertical="center" indent="1"/>
    </xf>
    <xf numFmtId="165" fontId="0" fillId="0" borderId="0" xfId="2" applyNumberFormat="1" applyFont="1" applyBorder="1" applyAlignment="1">
      <alignment horizontal="center" vertical="center"/>
    </xf>
    <xf numFmtId="165" fontId="10" fillId="0" borderId="0" xfId="2" applyNumberFormat="1" applyFont="1" applyBorder="1" applyAlignment="1">
      <alignment horizontal="center" vertical="center"/>
    </xf>
    <xf numFmtId="0" fontId="2" fillId="3" borderId="1" xfId="1" applyFont="1" applyFill="1" applyBorder="1" applyAlignment="1">
      <alignment horizontal="left" vertical="center" wrapText="1"/>
    </xf>
    <xf numFmtId="4" fontId="3" fillId="3" borderId="1" xfId="1" applyNumberFormat="1" applyFill="1" applyBorder="1" applyAlignment="1">
      <alignment horizontal="center" vertical="center"/>
    </xf>
    <xf numFmtId="10" fontId="3" fillId="3" borderId="1" xfId="1" applyNumberFormat="1" applyFill="1" applyBorder="1" applyAlignment="1">
      <alignment horizontal="center" vertical="center"/>
    </xf>
    <xf numFmtId="0" fontId="3" fillId="0" borderId="1" xfId="1" quotePrefix="1" applyBorder="1" applyAlignment="1">
      <alignment horizontal="left" vertical="center" wrapText="1" indent="1"/>
    </xf>
    <xf numFmtId="0" fontId="27" fillId="0" borderId="0" xfId="1" applyFont="1"/>
    <xf numFmtId="10" fontId="10" fillId="0" borderId="1" xfId="1" applyNumberFormat="1" applyFont="1" applyBorder="1" applyAlignment="1">
      <alignment horizontal="center" vertical="center"/>
    </xf>
    <xf numFmtId="10" fontId="10" fillId="0" borderId="1" xfId="2" applyNumberFormat="1" applyFont="1" applyBorder="1" applyAlignment="1">
      <alignment horizontal="center" vertical="center"/>
    </xf>
    <xf numFmtId="165" fontId="0" fillId="0" borderId="0" xfId="2" applyNumberFormat="1" applyFont="1" applyBorder="1"/>
    <xf numFmtId="0" fontId="5" fillId="3" borderId="1" xfId="0" applyFont="1" applyFill="1" applyBorder="1" applyAlignment="1">
      <alignment horizontal="left" vertical="center" wrapText="1"/>
    </xf>
    <xf numFmtId="167" fontId="30" fillId="0" borderId="0" xfId="1" applyNumberFormat="1" applyFont="1"/>
    <xf numFmtId="0" fontId="29" fillId="0" borderId="0" xfId="1" applyFont="1"/>
    <xf numFmtId="10" fontId="3" fillId="0" borderId="2" xfId="1" applyNumberFormat="1" applyBorder="1" applyAlignment="1">
      <alignment horizontal="center" vertical="center"/>
    </xf>
    <xf numFmtId="0" fontId="25" fillId="3" borderId="0" xfId="0" applyFont="1" applyFill="1"/>
    <xf numFmtId="0" fontId="5" fillId="0" borderId="0" xfId="1" applyFont="1" applyAlignment="1">
      <alignment horizontal="left" vertical="top" wrapText="1"/>
    </xf>
    <xf numFmtId="10" fontId="3" fillId="0" borderId="0" xfId="1" applyNumberFormat="1" applyAlignment="1">
      <alignment horizontal="center" vertical="center"/>
    </xf>
    <xf numFmtId="0" fontId="32" fillId="0" borderId="0" xfId="1" applyFont="1"/>
    <xf numFmtId="0" fontId="5" fillId="0" borderId="1" xfId="1" applyFont="1" applyBorder="1" applyAlignment="1">
      <alignment horizontal="left" vertical="center"/>
    </xf>
    <xf numFmtId="0" fontId="16" fillId="0" borderId="1" xfId="0" applyFont="1" applyBorder="1"/>
    <xf numFmtId="0" fontId="6" fillId="0" borderId="0" xfId="1" applyFont="1"/>
    <xf numFmtId="0" fontId="33" fillId="0" borderId="0" xfId="3" applyFont="1"/>
    <xf numFmtId="0" fontId="33" fillId="0" borderId="0" xfId="0" applyFont="1"/>
    <xf numFmtId="0" fontId="4" fillId="0" borderId="1" xfId="1" applyFont="1" applyBorder="1" applyAlignment="1">
      <alignment horizontal="left" vertical="top" wrapText="1"/>
    </xf>
    <xf numFmtId="0" fontId="34" fillId="0" borderId="0" xfId="1" applyFont="1"/>
    <xf numFmtId="0" fontId="28" fillId="0" borderId="0" xfId="1" applyFont="1"/>
    <xf numFmtId="0" fontId="35" fillId="0" borderId="0" xfId="1" applyFont="1"/>
    <xf numFmtId="0" fontId="6" fillId="0" borderId="0" xfId="1" applyFont="1" applyAlignment="1">
      <alignment wrapText="1"/>
    </xf>
    <xf numFmtId="166" fontId="29" fillId="0" borderId="0" xfId="1" applyNumberFormat="1" applyFont="1"/>
    <xf numFmtId="0" fontId="36" fillId="0" borderId="0" xfId="1" applyFont="1"/>
    <xf numFmtId="0" fontId="0" fillId="0" borderId="0" xfId="0" applyAlignment="1">
      <alignment wrapText="1"/>
    </xf>
    <xf numFmtId="0" fontId="34" fillId="0" borderId="0" xfId="1" applyFont="1" applyAlignment="1">
      <alignment horizontal="left"/>
    </xf>
    <xf numFmtId="0" fontId="37" fillId="0" borderId="0" xfId="0" applyFont="1"/>
    <xf numFmtId="0" fontId="2" fillId="0" borderId="1" xfId="0" applyFont="1" applyBorder="1" applyAlignment="1">
      <alignment horizontal="center" vertical="center"/>
    </xf>
    <xf numFmtId="4" fontId="0" fillId="3" borderId="1" xfId="0" applyNumberFormat="1" applyFill="1" applyBorder="1" applyAlignment="1">
      <alignment horizontal="center" vertical="center"/>
    </xf>
    <xf numFmtId="0" fontId="4" fillId="2" borderId="1" xfId="0" quotePrefix="1" applyFont="1" applyFill="1" applyBorder="1" applyAlignment="1">
      <alignment horizontal="left" vertical="center" wrapText="1"/>
    </xf>
    <xf numFmtId="165" fontId="39" fillId="0" borderId="0" xfId="2" applyNumberFormat="1" applyFont="1" applyBorder="1"/>
    <xf numFmtId="0" fontId="27" fillId="3" borderId="0" xfId="1" applyFont="1" applyFill="1"/>
    <xf numFmtId="4" fontId="22" fillId="0" borderId="1" xfId="3" applyNumberFormat="1" applyFont="1" applyBorder="1" applyAlignment="1">
      <alignment horizontal="center" vertical="center" wrapText="1"/>
    </xf>
    <xf numFmtId="4" fontId="22" fillId="2" borderId="1" xfId="3" applyNumberFormat="1" applyFont="1" applyFill="1" applyBorder="1" applyAlignment="1">
      <alignment horizontal="center" vertical="center" wrapText="1"/>
    </xf>
    <xf numFmtId="4" fontId="22" fillId="2" borderId="1" xfId="3" applyNumberFormat="1" applyFont="1" applyFill="1" applyBorder="1" applyAlignment="1">
      <alignment horizontal="center" vertical="center"/>
    </xf>
    <xf numFmtId="4" fontId="3" fillId="3" borderId="0" xfId="1" applyNumberFormat="1" applyFill="1" applyAlignment="1">
      <alignment horizontal="center" vertical="center"/>
    </xf>
    <xf numFmtId="0" fontId="3" fillId="3" borderId="0" xfId="1" applyFill="1" applyAlignment="1">
      <alignment horizontal="center" vertical="center"/>
    </xf>
    <xf numFmtId="10" fontId="3" fillId="3" borderId="0" xfId="1" applyNumberFormat="1" applyFill="1" applyAlignment="1">
      <alignment horizontal="center" vertical="center"/>
    </xf>
    <xf numFmtId="4" fontId="3" fillId="3" borderId="0" xfId="1" applyNumberFormat="1" applyFill="1" applyAlignment="1">
      <alignment vertical="top"/>
    </xf>
    <xf numFmtId="0" fontId="3" fillId="3" borderId="0" xfId="1" applyFill="1" applyAlignment="1">
      <alignment vertical="top"/>
    </xf>
    <xf numFmtId="10" fontId="3" fillId="3" borderId="0" xfId="1" applyNumberFormat="1" applyFill="1" applyAlignment="1">
      <alignment horizontal="center"/>
    </xf>
    <xf numFmtId="0" fontId="2" fillId="0" borderId="0" xfId="1" applyFont="1" applyAlignment="1">
      <alignment vertical="top"/>
    </xf>
    <xf numFmtId="4" fontId="2" fillId="0" borderId="0" xfId="1" applyNumberFormat="1" applyFont="1" applyAlignment="1">
      <alignment vertical="top"/>
    </xf>
    <xf numFmtId="10" fontId="2" fillId="0" borderId="0" xfId="1" applyNumberFormat="1" applyFont="1" applyAlignment="1">
      <alignment horizontal="center"/>
    </xf>
    <xf numFmtId="0" fontId="15" fillId="0" borderId="0" xfId="1" applyFont="1" applyAlignment="1">
      <alignment horizontal="center" vertical="center"/>
    </xf>
    <xf numFmtId="167" fontId="5" fillId="0" borderId="0" xfId="1" applyNumberFormat="1"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0" fontId="14" fillId="0" borderId="0" xfId="1" applyFont="1"/>
    <xf numFmtId="0" fontId="8" fillId="0" borderId="0" xfId="0" applyFont="1" applyAlignment="1">
      <alignment horizontal="center" vertical="center"/>
    </xf>
    <xf numFmtId="166" fontId="8" fillId="0" borderId="0" xfId="0" applyNumberFormat="1" applyFont="1" applyAlignment="1">
      <alignment horizontal="center" vertical="center"/>
    </xf>
    <xf numFmtId="0" fontId="15" fillId="3" borderId="1" xfId="1" applyFont="1" applyFill="1" applyBorder="1" applyAlignment="1">
      <alignment wrapText="1"/>
    </xf>
    <xf numFmtId="0" fontId="10" fillId="3" borderId="0" xfId="1" applyFont="1" applyFill="1"/>
    <xf numFmtId="165" fontId="10" fillId="3" borderId="0" xfId="2" applyNumberFormat="1" applyFont="1" applyFill="1"/>
    <xf numFmtId="10" fontId="3" fillId="0" borderId="0" xfId="1" applyNumberFormat="1"/>
    <xf numFmtId="166" fontId="3" fillId="3" borderId="0" xfId="1" applyNumberFormat="1" applyFill="1"/>
    <xf numFmtId="0" fontId="2" fillId="3" borderId="1" xfId="1" applyFont="1" applyFill="1" applyBorder="1" applyAlignment="1">
      <alignment horizontal="center" vertical="center"/>
    </xf>
    <xf numFmtId="10" fontId="3" fillId="3" borderId="2" xfId="1" applyNumberFormat="1" applyFill="1" applyBorder="1" applyAlignment="1">
      <alignment horizontal="center" vertical="center"/>
    </xf>
    <xf numFmtId="0" fontId="5" fillId="0" borderId="0" xfId="1" applyFont="1"/>
    <xf numFmtId="0" fontId="4" fillId="0" borderId="0" xfId="1" applyFont="1"/>
    <xf numFmtId="166" fontId="4" fillId="0" borderId="0" xfId="1" applyNumberFormat="1" applyFont="1"/>
    <xf numFmtId="0" fontId="4" fillId="0" borderId="0" xfId="1" applyFont="1" applyAlignment="1">
      <alignment horizontal="left"/>
    </xf>
    <xf numFmtId="0" fontId="4" fillId="0" borderId="0" xfId="1" applyFont="1" applyAlignment="1">
      <alignment horizontal="center" vertical="center"/>
    </xf>
    <xf numFmtId="10" fontId="4" fillId="0" borderId="0" xfId="1" applyNumberFormat="1" applyFont="1" applyAlignment="1">
      <alignment horizontal="center" vertical="center"/>
    </xf>
    <xf numFmtId="0" fontId="28" fillId="0" borderId="0" xfId="1" applyFont="1" applyAlignment="1">
      <alignment horizontal="center" vertical="center"/>
    </xf>
    <xf numFmtId="4" fontId="29" fillId="0" borderId="0" xfId="1" applyNumberFormat="1" applyFont="1" applyAlignment="1">
      <alignment horizontal="center" vertical="center"/>
    </xf>
    <xf numFmtId="0" fontId="32" fillId="3" borderId="0" xfId="1" applyFont="1" applyFill="1"/>
    <xf numFmtId="0" fontId="14" fillId="3" borderId="0" xfId="1" applyFont="1" applyFill="1"/>
    <xf numFmtId="0" fontId="36" fillId="3" borderId="0" xfId="1" applyFont="1" applyFill="1"/>
    <xf numFmtId="0" fontId="15" fillId="3" borderId="1" xfId="1" applyFont="1" applyFill="1" applyBorder="1" applyAlignment="1">
      <alignment horizontal="center" vertical="center"/>
    </xf>
    <xf numFmtId="0" fontId="10" fillId="3" borderId="1" xfId="1" applyFont="1" applyFill="1" applyBorder="1" applyAlignment="1">
      <alignment horizontal="left" vertical="center" wrapText="1"/>
    </xf>
    <xf numFmtId="0" fontId="10" fillId="3" borderId="1" xfId="1" applyFont="1" applyFill="1" applyBorder="1" applyAlignment="1">
      <alignment horizontal="left" vertical="center"/>
    </xf>
    <xf numFmtId="0" fontId="5" fillId="3" borderId="1" xfId="0" applyFont="1" applyFill="1" applyBorder="1" applyAlignment="1">
      <alignment horizontal="left" vertical="center" wrapText="1" readingOrder="1"/>
    </xf>
    <xf numFmtId="0" fontId="2" fillId="0" borderId="1" xfId="1" quotePrefix="1" applyFont="1" applyBorder="1" applyAlignment="1">
      <alignment horizontal="left" vertical="center" wrapText="1"/>
    </xf>
    <xf numFmtId="0" fontId="4" fillId="3" borderId="1" xfId="1" applyFont="1" applyFill="1" applyBorder="1" applyAlignment="1">
      <alignment horizontal="left" vertical="top" wrapText="1"/>
    </xf>
    <xf numFmtId="0" fontId="36" fillId="3" borderId="0" xfId="1" quotePrefix="1" applyFont="1" applyFill="1"/>
    <xf numFmtId="0" fontId="35" fillId="3" borderId="0" xfId="1" applyFont="1" applyFill="1"/>
    <xf numFmtId="10" fontId="35" fillId="3" borderId="0" xfId="1" applyNumberFormat="1" applyFont="1" applyFill="1"/>
    <xf numFmtId="0" fontId="40" fillId="3" borderId="0" xfId="1" applyFont="1" applyFill="1"/>
    <xf numFmtId="0" fontId="4" fillId="3" borderId="1" xfId="1" quotePrefix="1" applyFont="1" applyFill="1" applyBorder="1" applyAlignment="1">
      <alignment horizontal="left" indent="2"/>
    </xf>
    <xf numFmtId="0" fontId="4" fillId="3" borderId="1" xfId="1" quotePrefix="1" applyFont="1" applyFill="1" applyBorder="1" applyAlignment="1">
      <alignment horizontal="left" wrapText="1" indent="2"/>
    </xf>
    <xf numFmtId="4" fontId="4" fillId="3" borderId="1" xfId="1" applyNumberFormat="1" applyFont="1" applyFill="1" applyBorder="1" applyAlignment="1">
      <alignment horizontal="center" vertical="center"/>
    </xf>
    <xf numFmtId="0" fontId="4" fillId="3" borderId="1" xfId="1" applyFont="1" applyFill="1" applyBorder="1" applyAlignment="1">
      <alignment horizontal="left" vertical="center" wrapText="1"/>
    </xf>
    <xf numFmtId="0" fontId="4" fillId="3" borderId="1" xfId="0" quotePrefix="1" applyFont="1" applyFill="1" applyBorder="1" applyAlignment="1">
      <alignment horizontal="left" vertical="center" wrapText="1" indent="2"/>
    </xf>
    <xf numFmtId="0" fontId="36" fillId="0" borderId="0" xfId="1" applyFont="1" applyAlignment="1">
      <alignment horizontal="left" vertical="top" wrapText="1"/>
    </xf>
    <xf numFmtId="0" fontId="36" fillId="0" borderId="0" xfId="0" applyFont="1"/>
    <xf numFmtId="0" fontId="28" fillId="0" borderId="0" xfId="1" applyFont="1" applyAlignment="1">
      <alignment horizontal="left" vertical="center" wrapText="1"/>
    </xf>
    <xf numFmtId="4" fontId="28" fillId="0" borderId="0" xfId="1" applyNumberFormat="1" applyFont="1" applyAlignment="1">
      <alignment vertical="center" wrapText="1"/>
    </xf>
    <xf numFmtId="0" fontId="28" fillId="0" borderId="0" xfId="1" applyFont="1" applyAlignment="1">
      <alignment vertical="center" wrapText="1"/>
    </xf>
    <xf numFmtId="4" fontId="28" fillId="0" borderId="0" xfId="1" applyNumberFormat="1" applyFont="1" applyAlignment="1">
      <alignment vertical="center"/>
    </xf>
    <xf numFmtId="166" fontId="28" fillId="0" borderId="0" xfId="1" applyNumberFormat="1" applyFont="1" applyAlignment="1">
      <alignment vertical="center"/>
    </xf>
    <xf numFmtId="0" fontId="28" fillId="0" borderId="0" xfId="1" applyFont="1" applyAlignment="1">
      <alignment vertical="center"/>
    </xf>
    <xf numFmtId="0" fontId="29" fillId="0" borderId="0" xfId="1" applyFont="1" applyAlignment="1">
      <alignment wrapText="1"/>
    </xf>
    <xf numFmtId="4" fontId="29" fillId="0" borderId="0" xfId="1" applyNumberFormat="1" applyFont="1" applyAlignment="1">
      <alignment vertical="center" wrapText="1"/>
    </xf>
    <xf numFmtId="4" fontId="29" fillId="0" borderId="0" xfId="1" applyNumberFormat="1" applyFont="1" applyAlignment="1">
      <alignment vertical="center"/>
    </xf>
    <xf numFmtId="0" fontId="29" fillId="0" borderId="0" xfId="1" applyFont="1" applyAlignment="1">
      <alignment vertical="center" wrapText="1"/>
    </xf>
    <xf numFmtId="0" fontId="29" fillId="0" borderId="0" xfId="1" applyFont="1" applyAlignment="1">
      <alignment vertical="center"/>
    </xf>
    <xf numFmtId="166" fontId="29" fillId="0" borderId="0" xfId="1" applyNumberFormat="1" applyFont="1" applyAlignment="1">
      <alignment vertical="center"/>
    </xf>
    <xf numFmtId="10" fontId="29" fillId="0" borderId="0" xfId="1" applyNumberFormat="1" applyFont="1" applyAlignment="1">
      <alignment vertical="center" wrapText="1"/>
    </xf>
    <xf numFmtId="10" fontId="29" fillId="0" borderId="0" xfId="1" applyNumberFormat="1" applyFont="1" applyAlignment="1">
      <alignment vertical="center"/>
    </xf>
    <xf numFmtId="10" fontId="29" fillId="0" borderId="0" xfId="1" applyNumberFormat="1" applyFont="1" applyAlignment="1">
      <alignment horizontal="center" vertical="center"/>
    </xf>
    <xf numFmtId="0" fontId="27" fillId="3" borderId="0" xfId="1" quotePrefix="1" applyFont="1" applyFill="1"/>
    <xf numFmtId="3" fontId="27" fillId="3" borderId="0" xfId="1" applyNumberFormat="1" applyFont="1" applyFill="1" applyAlignment="1">
      <alignment horizontal="right"/>
    </xf>
    <xf numFmtId="0" fontId="27" fillId="3" borderId="0" xfId="1" applyFont="1" applyFill="1" applyAlignment="1">
      <alignment horizontal="right"/>
    </xf>
    <xf numFmtId="4" fontId="27" fillId="3" borderId="0" xfId="1" applyNumberFormat="1" applyFont="1" applyFill="1" applyAlignment="1">
      <alignment horizontal="right"/>
    </xf>
    <xf numFmtId="0" fontId="26" fillId="3" borderId="0" xfId="0" applyFont="1" applyFill="1"/>
    <xf numFmtId="0" fontId="26" fillId="3" borderId="0" xfId="1" applyFont="1" applyFill="1"/>
    <xf numFmtId="165" fontId="27" fillId="3" borderId="0" xfId="2" applyNumberFormat="1" applyFont="1" applyFill="1" applyBorder="1"/>
    <xf numFmtId="10" fontId="27" fillId="3" borderId="0" xfId="1" applyNumberFormat="1" applyFont="1" applyFill="1"/>
    <xf numFmtId="3" fontId="27" fillId="3" borderId="0" xfId="1" applyNumberFormat="1" applyFont="1" applyFill="1"/>
    <xf numFmtId="165" fontId="27" fillId="0" borderId="0" xfId="2" applyNumberFormat="1" applyFont="1" applyFill="1" applyBorder="1"/>
    <xf numFmtId="0" fontId="26" fillId="0" borderId="0" xfId="0" applyFont="1"/>
    <xf numFmtId="0" fontId="26" fillId="0" borderId="0" xfId="1" applyFont="1"/>
    <xf numFmtId="165" fontId="27" fillId="0" borderId="0" xfId="2" applyNumberFormat="1" applyFont="1" applyFill="1" applyBorder="1" applyAlignment="1">
      <alignment horizontal="center"/>
    </xf>
    <xf numFmtId="10" fontId="27" fillId="0" borderId="0" xfId="2" applyNumberFormat="1" applyFont="1" applyFill="1" applyBorder="1"/>
    <xf numFmtId="0" fontId="26" fillId="0" borderId="0" xfId="1" applyFont="1" applyAlignment="1">
      <alignment horizontal="left" vertical="center"/>
    </xf>
    <xf numFmtId="0" fontId="26" fillId="0" borderId="0" xfId="1" applyFont="1" applyAlignment="1">
      <alignment horizontal="center" vertical="center"/>
    </xf>
    <xf numFmtId="0" fontId="26" fillId="0" borderId="0" xfId="1" applyFont="1" applyAlignment="1">
      <alignment horizontal="center" vertical="center" wrapText="1"/>
    </xf>
    <xf numFmtId="165" fontId="27" fillId="0" borderId="0" xfId="1" applyNumberFormat="1" applyFont="1"/>
    <xf numFmtId="0" fontId="27" fillId="0" borderId="0" xfId="1" quotePrefix="1" applyFont="1"/>
    <xf numFmtId="0" fontId="27" fillId="0" borderId="0" xfId="1" applyFont="1" applyAlignment="1">
      <alignment horizontal="right"/>
    </xf>
    <xf numFmtId="169" fontId="3" fillId="0" borderId="0" xfId="1" applyNumberFormat="1"/>
    <xf numFmtId="2" fontId="0" fillId="0" borderId="1" xfId="0" applyNumberFormat="1" applyBorder="1" applyAlignment="1">
      <alignment horizontal="center" vertical="center"/>
    </xf>
    <xf numFmtId="2" fontId="29" fillId="0" borderId="0" xfId="1" applyNumberFormat="1" applyFont="1"/>
    <xf numFmtId="4" fontId="29" fillId="3" borderId="0" xfId="1" applyNumberFormat="1" applyFont="1" applyFill="1" applyAlignment="1">
      <alignment horizontal="center" vertical="center"/>
    </xf>
    <xf numFmtId="0" fontId="29" fillId="3" borderId="0" xfId="1" applyFont="1" applyFill="1"/>
    <xf numFmtId="0" fontId="22" fillId="0" borderId="1" xfId="3" applyFont="1" applyBorder="1" applyAlignment="1">
      <alignment horizontal="center" vertical="center" wrapText="1"/>
    </xf>
    <xf numFmtId="3" fontId="22" fillId="0" borderId="1" xfId="3" applyNumberFormat="1" applyFont="1" applyBorder="1" applyAlignment="1">
      <alignment horizontal="center" vertical="center"/>
    </xf>
    <xf numFmtId="3"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 fillId="0" borderId="0" xfId="1" quotePrefix="1" applyFont="1"/>
    <xf numFmtId="0" fontId="44" fillId="0" borderId="0" xfId="0" applyFont="1"/>
    <xf numFmtId="0" fontId="43" fillId="4" borderId="0" xfId="0" applyFont="1" applyFill="1"/>
    <xf numFmtId="0" fontId="23" fillId="4" borderId="0" xfId="0" applyFont="1" applyFill="1"/>
    <xf numFmtId="0" fontId="18" fillId="4" borderId="0" xfId="0" applyFont="1" applyFill="1"/>
    <xf numFmtId="0" fontId="44" fillId="4" borderId="0" xfId="0" applyFont="1" applyFill="1"/>
    <xf numFmtId="10" fontId="22" fillId="4" borderId="0" xfId="0" applyNumberFormat="1" applyFont="1" applyFill="1" applyAlignment="1" applyProtection="1">
      <alignment horizontal="center" vertical="center"/>
      <protection locked="0"/>
    </xf>
    <xf numFmtId="10" fontId="20" fillId="4" borderId="0" xfId="3" applyNumberFormat="1" applyFont="1" applyFill="1" applyAlignment="1">
      <alignment horizontal="center" vertical="center" wrapText="1"/>
    </xf>
    <xf numFmtId="3" fontId="22" fillId="4" borderId="0" xfId="0" applyNumberFormat="1" applyFont="1" applyFill="1" applyAlignment="1" applyProtection="1">
      <alignment horizontal="center" vertical="center"/>
      <protection locked="0"/>
    </xf>
    <xf numFmtId="2" fontId="3" fillId="0" borderId="0" xfId="1" applyNumberFormat="1" applyAlignment="1">
      <alignment horizontal="center" vertical="center"/>
    </xf>
    <xf numFmtId="2" fontId="0" fillId="0" borderId="0" xfId="0" applyNumberFormat="1" applyAlignment="1">
      <alignment horizontal="center" vertical="center"/>
    </xf>
    <xf numFmtId="2" fontId="3" fillId="5" borderId="1" xfId="1" applyNumberFormat="1" applyFill="1" applyBorder="1" applyAlignment="1">
      <alignment horizontal="center" vertical="center"/>
    </xf>
    <xf numFmtId="2" fontId="0" fillId="5" borderId="1" xfId="0" applyNumberFormat="1" applyFill="1" applyBorder="1" applyAlignment="1">
      <alignment horizontal="center" vertical="center"/>
    </xf>
    <xf numFmtId="10" fontId="3" fillId="5" borderId="1" xfId="1" applyNumberFormat="1" applyFill="1" applyBorder="1" applyAlignment="1">
      <alignment horizontal="center" vertical="center"/>
    </xf>
    <xf numFmtId="0" fontId="45" fillId="0" borderId="0" xfId="1" applyFont="1"/>
    <xf numFmtId="0" fontId="2" fillId="4" borderId="0" xfId="1" applyFont="1" applyFill="1"/>
    <xf numFmtId="0" fontId="3" fillId="4" borderId="0" xfId="1" applyFill="1"/>
    <xf numFmtId="166" fontId="3" fillId="4" borderId="0" xfId="1" applyNumberFormat="1" applyFill="1"/>
    <xf numFmtId="0" fontId="5" fillId="4" borderId="0" xfId="1" applyFont="1" applyFill="1" applyAlignment="1">
      <alignment horizontal="left" vertical="top" wrapText="1"/>
    </xf>
    <xf numFmtId="10" fontId="3" fillId="4" borderId="0" xfId="1" applyNumberFormat="1" applyFill="1" applyAlignment="1">
      <alignment horizontal="center" vertical="center"/>
    </xf>
    <xf numFmtId="2" fontId="3" fillId="3" borderId="1" xfId="1" applyNumberFormat="1" applyFill="1" applyBorder="1" applyAlignment="1">
      <alignment horizontal="center" vertical="center"/>
    </xf>
    <xf numFmtId="0" fontId="6" fillId="3" borderId="0" xfId="1" applyFont="1" applyFill="1" applyAlignment="1">
      <alignment horizontal="center" vertical="center"/>
    </xf>
    <xf numFmtId="4" fontId="3" fillId="5" borderId="1" xfId="1" applyNumberFormat="1" applyFill="1" applyBorder="1" applyAlignment="1">
      <alignment horizontal="center" vertical="center"/>
    </xf>
    <xf numFmtId="0" fontId="4" fillId="5" borderId="1" xfId="1" applyFont="1" applyFill="1" applyBorder="1" applyAlignment="1">
      <alignment horizontal="left" vertical="center" wrapText="1"/>
    </xf>
    <xf numFmtId="165" fontId="0" fillId="5" borderId="1" xfId="2" applyNumberFormat="1" applyFont="1" applyFill="1" applyBorder="1" applyAlignment="1">
      <alignment horizontal="center" vertical="center"/>
    </xf>
    <xf numFmtId="10" fontId="3" fillId="3" borderId="1" xfId="1" applyNumberFormat="1" applyFill="1" applyBorder="1" applyAlignment="1">
      <alignment horizontal="center"/>
    </xf>
    <xf numFmtId="0" fontId="4" fillId="3"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0" borderId="0" xfId="1" applyFont="1" applyAlignment="1">
      <alignment horizontal="right"/>
    </xf>
    <xf numFmtId="4" fontId="3" fillId="0" borderId="1" xfId="1" applyNumberFormat="1" applyBorder="1" applyAlignment="1">
      <alignment horizontal="center" vertical="center" wrapText="1"/>
    </xf>
    <xf numFmtId="10" fontId="3" fillId="0" borderId="1" xfId="1" applyNumberFormat="1" applyBorder="1" applyAlignment="1">
      <alignment horizontal="center" vertical="center" wrapText="1"/>
    </xf>
    <xf numFmtId="4" fontId="4" fillId="2" borderId="1" xfId="1" applyNumberFormat="1" applyFont="1" applyFill="1" applyBorder="1" applyAlignment="1">
      <alignment horizontal="center" vertical="center"/>
    </xf>
    <xf numFmtId="0" fontId="4" fillId="2" borderId="1" xfId="1" quotePrefix="1" applyFont="1" applyFill="1" applyBorder="1" applyAlignment="1">
      <alignment horizontal="left" vertical="top" wrapText="1"/>
    </xf>
    <xf numFmtId="4" fontId="4" fillId="2" borderId="1" xfId="1" quotePrefix="1" applyNumberFormat="1" applyFont="1" applyFill="1" applyBorder="1" applyAlignment="1">
      <alignment horizontal="left" vertical="top" wrapText="1"/>
    </xf>
    <xf numFmtId="0" fontId="4" fillId="3" borderId="1" xfId="1" quotePrefix="1" applyFont="1" applyFill="1" applyBorder="1" applyAlignment="1">
      <alignment horizontal="left" vertical="top"/>
    </xf>
    <xf numFmtId="0" fontId="4" fillId="3" borderId="1" xfId="1" quotePrefix="1" applyFont="1" applyFill="1" applyBorder="1" applyAlignment="1">
      <alignment horizontal="left" vertical="top" wrapText="1"/>
    </xf>
    <xf numFmtId="2" fontId="4" fillId="3" borderId="1" xfId="1" applyNumberFormat="1" applyFont="1" applyFill="1" applyBorder="1" applyAlignment="1">
      <alignment horizontal="center" vertical="center"/>
    </xf>
    <xf numFmtId="0" fontId="4" fillId="5" borderId="1" xfId="1" quotePrefix="1" applyFont="1" applyFill="1" applyBorder="1" applyAlignment="1">
      <alignment horizontal="left" vertical="top" wrapText="1"/>
    </xf>
    <xf numFmtId="4" fontId="4" fillId="5" borderId="1" xfId="1" quotePrefix="1" applyNumberFormat="1" applyFont="1" applyFill="1" applyBorder="1" applyAlignment="1">
      <alignment horizontal="left" vertical="top" wrapText="1"/>
    </xf>
    <xf numFmtId="2" fontId="4" fillId="5" borderId="1" xfId="1" applyNumberFormat="1" applyFont="1" applyFill="1" applyBorder="1" applyAlignment="1">
      <alignment horizontal="center" vertical="center"/>
    </xf>
    <xf numFmtId="168" fontId="3" fillId="4" borderId="0" xfId="1" applyNumberFormat="1" applyFill="1"/>
    <xf numFmtId="0" fontId="45" fillId="0" borderId="0" xfId="1" applyFont="1" applyAlignment="1">
      <alignment horizontal="left" vertical="top"/>
    </xf>
    <xf numFmtId="0" fontId="9" fillId="3" borderId="0" xfId="1" applyFont="1" applyFill="1"/>
    <xf numFmtId="3" fontId="4" fillId="3" borderId="1" xfId="1" applyNumberFormat="1" applyFont="1" applyFill="1" applyBorder="1" applyAlignment="1">
      <alignment horizontal="center"/>
    </xf>
    <xf numFmtId="0" fontId="4" fillId="5" borderId="1" xfId="1" applyFont="1" applyFill="1" applyBorder="1" applyAlignment="1">
      <alignment wrapText="1"/>
    </xf>
    <xf numFmtId="3" fontId="4" fillId="5" borderId="1" xfId="1" applyNumberFormat="1" applyFont="1" applyFill="1" applyBorder="1" applyAlignment="1">
      <alignment horizontal="center"/>
    </xf>
    <xf numFmtId="3" fontId="4" fillId="5" borderId="1" xfId="1" applyNumberFormat="1" applyFont="1" applyFill="1" applyBorder="1" applyAlignment="1">
      <alignment horizontal="center" vertical="center"/>
    </xf>
    <xf numFmtId="0" fontId="39" fillId="0" borderId="0" xfId="1" applyFont="1"/>
    <xf numFmtId="0" fontId="39" fillId="3" borderId="0" xfId="1" applyFont="1" applyFill="1"/>
    <xf numFmtId="166" fontId="35" fillId="0" borderId="0" xfId="1" applyNumberFormat="1" applyFont="1"/>
    <xf numFmtId="0" fontId="47" fillId="0" borderId="0" xfId="0" applyFont="1"/>
    <xf numFmtId="0" fontId="48" fillId="0" borderId="0" xfId="1" applyFont="1" applyAlignment="1">
      <alignment horizontal="left" vertical="center" wrapText="1"/>
    </xf>
    <xf numFmtId="0" fontId="48" fillId="0" borderId="0" xfId="1" applyFont="1" applyAlignment="1">
      <alignment horizontal="center" vertical="center"/>
    </xf>
    <xf numFmtId="0" fontId="49" fillId="0" borderId="0" xfId="1" applyFont="1" applyAlignment="1">
      <alignment wrapText="1"/>
    </xf>
    <xf numFmtId="166" fontId="49" fillId="0" borderId="0" xfId="1" applyNumberFormat="1" applyFont="1" applyAlignment="1">
      <alignment horizontal="center" vertical="center"/>
    </xf>
    <xf numFmtId="4" fontId="3" fillId="0" borderId="0" xfId="1" applyNumberFormat="1"/>
    <xf numFmtId="0" fontId="22" fillId="3" borderId="1" xfId="0" applyFont="1" applyFill="1" applyBorder="1" applyAlignment="1" applyProtection="1">
      <alignment horizontal="center" vertical="center"/>
      <protection locked="0"/>
    </xf>
    <xf numFmtId="1" fontId="22" fillId="3" borderId="1" xfId="0" applyNumberFormat="1" applyFont="1" applyFill="1" applyBorder="1" applyAlignment="1" applyProtection="1">
      <alignment horizontal="center" vertical="center"/>
      <protection locked="0"/>
    </xf>
    <xf numFmtId="2" fontId="23" fillId="0" borderId="1" xfId="0" applyNumberFormat="1" applyFont="1" applyBorder="1" applyAlignment="1">
      <alignment horizontal="center" vertical="center"/>
    </xf>
    <xf numFmtId="0" fontId="3" fillId="2" borderId="1" xfId="1" applyFill="1" applyBorder="1" applyAlignment="1">
      <alignment horizontal="center" vertical="center" wrapText="1"/>
    </xf>
    <xf numFmtId="10" fontId="10" fillId="3" borderId="1" xfId="2"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0" fontId="0" fillId="3" borderId="1" xfId="1" applyFont="1" applyFill="1" applyBorder="1" applyAlignment="1">
      <alignment horizontal="center" vertical="center"/>
    </xf>
    <xf numFmtId="10" fontId="4" fillId="3" borderId="1" xfId="2"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10" fontId="4" fillId="2" borderId="1" xfId="2" applyNumberFormat="1" applyFont="1" applyFill="1" applyBorder="1" applyAlignment="1">
      <alignment horizontal="center" vertical="center"/>
    </xf>
    <xf numFmtId="10" fontId="4" fillId="0" borderId="1" xfId="2" applyNumberFormat="1" applyFont="1" applyBorder="1" applyAlignment="1">
      <alignment horizontal="center" vertical="center"/>
    </xf>
    <xf numFmtId="10" fontId="4" fillId="5" borderId="1" xfId="2" applyNumberFormat="1" applyFont="1" applyFill="1" applyBorder="1" applyAlignment="1">
      <alignment horizontal="center" vertical="center"/>
    </xf>
    <xf numFmtId="0" fontId="0" fillId="2" borderId="1" xfId="1" applyFont="1" applyFill="1" applyBorder="1" applyAlignment="1">
      <alignment horizontal="center" vertical="center"/>
    </xf>
    <xf numFmtId="0" fontId="50" fillId="2" borderId="1" xfId="0" applyFont="1" applyFill="1" applyBorder="1" applyAlignment="1">
      <alignment wrapText="1"/>
    </xf>
    <xf numFmtId="171" fontId="0" fillId="2" borderId="1" xfId="0" applyNumberFormat="1" applyFill="1" applyBorder="1" applyAlignment="1">
      <alignment horizontal="center" vertical="center"/>
    </xf>
    <xf numFmtId="0" fontId="15" fillId="0" borderId="7" xfId="1" applyFont="1" applyBorder="1" applyAlignment="1">
      <alignment horizontal="center" vertical="center" wrapText="1"/>
    </xf>
    <xf numFmtId="0" fontId="2" fillId="0" borderId="2" xfId="1" applyFont="1" applyBorder="1" applyAlignment="1">
      <alignment horizontal="center" vertical="center"/>
    </xf>
    <xf numFmtId="166" fontId="3" fillId="0" borderId="2" xfId="1" applyNumberFormat="1" applyBorder="1" applyAlignment="1">
      <alignment horizontal="center" vertical="center"/>
    </xf>
    <xf numFmtId="10" fontId="3" fillId="0" borderId="7" xfId="1" applyNumberFormat="1" applyBorder="1" applyAlignment="1">
      <alignment horizontal="center"/>
    </xf>
    <xf numFmtId="0" fontId="4" fillId="3" borderId="1" xfId="1" applyFont="1" applyFill="1" applyBorder="1" applyAlignment="1">
      <alignment horizontal="center" vertical="center"/>
    </xf>
    <xf numFmtId="0" fontId="4" fillId="5" borderId="1" xfId="1" applyFont="1" applyFill="1" applyBorder="1" applyAlignment="1">
      <alignment horizontal="center" vertical="center"/>
    </xf>
    <xf numFmtId="0" fontId="10" fillId="3" borderId="1" xfId="1" applyFont="1" applyFill="1" applyBorder="1" applyAlignment="1">
      <alignment horizontal="center" vertical="center"/>
    </xf>
    <xf numFmtId="1" fontId="22" fillId="2" borderId="1" xfId="0" applyNumberFormat="1" applyFont="1" applyFill="1" applyBorder="1" applyAlignment="1" applyProtection="1">
      <alignment horizontal="center" vertical="center"/>
      <protection locked="0"/>
    </xf>
    <xf numFmtId="1" fontId="0" fillId="2" borderId="1" xfId="1" applyNumberFormat="1" applyFont="1" applyFill="1" applyBorder="1" applyAlignment="1">
      <alignment horizontal="center" vertical="center"/>
    </xf>
    <xf numFmtId="10" fontId="10" fillId="5" borderId="1" xfId="2" applyNumberFormat="1" applyFont="1" applyFill="1" applyBorder="1" applyAlignment="1">
      <alignment horizontal="center" vertical="center"/>
    </xf>
    <xf numFmtId="10" fontId="20" fillId="0" borderId="0" xfId="3" applyNumberFormat="1" applyFont="1" applyAlignment="1">
      <alignment horizontal="center" vertical="center" wrapText="1"/>
    </xf>
    <xf numFmtId="3" fontId="22" fillId="0" borderId="0" xfId="0" applyNumberFormat="1" applyFont="1" applyAlignment="1" applyProtection="1">
      <alignment horizontal="center" vertical="center" wrapText="1"/>
      <protection locked="0"/>
    </xf>
    <xf numFmtId="2" fontId="3" fillId="3" borderId="0" xfId="1" applyNumberFormat="1" applyFill="1" applyAlignment="1">
      <alignment horizontal="center" vertical="center"/>
    </xf>
    <xf numFmtId="10" fontId="13" fillId="0" borderId="0" xfId="1" applyNumberFormat="1" applyFont="1"/>
    <xf numFmtId="10" fontId="2" fillId="0" borderId="0" xfId="1" applyNumberFormat="1" applyFont="1"/>
    <xf numFmtId="10" fontId="34" fillId="0" borderId="0" xfId="1" applyNumberFormat="1" applyFont="1"/>
    <xf numFmtId="10" fontId="15" fillId="0" borderId="0" xfId="1" applyNumberFormat="1" applyFont="1" applyAlignment="1">
      <alignment horizontal="center" vertical="center"/>
    </xf>
    <xf numFmtId="10" fontId="3" fillId="6" borderId="0" xfId="1" applyNumberFormat="1" applyFill="1"/>
    <xf numFmtId="0" fontId="46" fillId="0" borderId="0" xfId="3" applyFont="1"/>
    <xf numFmtId="0" fontId="24" fillId="0" borderId="0" xfId="3" applyFont="1" applyAlignment="1">
      <alignment horizontal="center" vertical="center" wrapText="1"/>
    </xf>
    <xf numFmtId="0" fontId="24" fillId="0" borderId="0" xfId="3" applyFont="1" applyAlignment="1">
      <alignment horizontal="center" vertical="center"/>
    </xf>
    <xf numFmtId="0" fontId="46" fillId="0" borderId="0" xfId="0" applyFont="1"/>
    <xf numFmtId="49" fontId="20" fillId="0" borderId="1" xfId="3" applyNumberFormat="1" applyFont="1" applyBorder="1" applyAlignment="1">
      <alignment horizontal="left" vertical="center" wrapText="1"/>
    </xf>
    <xf numFmtId="49" fontId="20" fillId="0" borderId="0" xfId="3" applyNumberFormat="1" applyFont="1" applyAlignment="1">
      <alignment horizontal="left" vertical="center" wrapText="1"/>
    </xf>
    <xf numFmtId="10" fontId="22" fillId="0" borderId="0" xfId="0" applyNumberFormat="1" applyFont="1" applyAlignment="1" applyProtection="1">
      <alignment horizontal="center" vertical="center"/>
      <protection locked="0"/>
    </xf>
    <xf numFmtId="10" fontId="10" fillId="0" borderId="1" xfId="2" applyNumberFormat="1" applyFont="1" applyFill="1" applyBorder="1" applyAlignment="1">
      <alignment horizontal="center" vertical="center"/>
    </xf>
    <xf numFmtId="0" fontId="51" fillId="0" borderId="6" xfId="0" applyFont="1" applyBorder="1" applyAlignment="1">
      <alignment horizontal="center" vertical="center"/>
    </xf>
    <xf numFmtId="0" fontId="2" fillId="4" borderId="0" xfId="1" quotePrefix="1" applyFont="1" applyFill="1"/>
    <xf numFmtId="10" fontId="35" fillId="0" borderId="0" xfId="1" applyNumberFormat="1" applyFont="1"/>
    <xf numFmtId="0" fontId="52" fillId="0" borderId="0" xfId="1" applyFont="1"/>
    <xf numFmtId="0" fontId="53" fillId="7" borderId="1" xfId="0" applyFont="1" applyFill="1" applyBorder="1" applyAlignment="1">
      <alignment horizontal="center"/>
    </xf>
    <xf numFmtId="2" fontId="4" fillId="0" borderId="1" xfId="2" applyNumberFormat="1" applyFont="1" applyFill="1" applyBorder="1" applyAlignment="1">
      <alignment horizontal="center" vertical="center"/>
    </xf>
    <xf numFmtId="0" fontId="38" fillId="0" borderId="0" xfId="1" quotePrefix="1" applyFont="1"/>
    <xf numFmtId="0" fontId="41" fillId="0" borderId="1" xfId="1" applyFont="1" applyBorder="1" applyAlignment="1">
      <alignment horizontal="center" vertical="center"/>
    </xf>
    <xf numFmtId="0" fontId="4" fillId="0" borderId="2" xfId="1" applyFont="1" applyBorder="1" applyAlignment="1">
      <alignment vertical="center"/>
    </xf>
    <xf numFmtId="0" fontId="4" fillId="0" borderId="2" xfId="1" quotePrefix="1" applyFont="1" applyBorder="1" applyAlignment="1">
      <alignment horizontal="left" vertical="center" indent="1"/>
    </xf>
    <xf numFmtId="0" fontId="42" fillId="0" borderId="2" xfId="1" quotePrefix="1" applyFont="1" applyBorder="1" applyAlignment="1">
      <alignment horizontal="left" vertical="center"/>
    </xf>
    <xf numFmtId="0" fontId="4" fillId="0" borderId="2" xfId="1" applyFont="1" applyBorder="1" applyAlignment="1">
      <alignment horizontal="left" vertical="center"/>
    </xf>
    <xf numFmtId="0" fontId="42" fillId="0" borderId="2" xfId="1" applyFont="1" applyBorder="1" applyAlignment="1">
      <alignment horizontal="left" vertical="center"/>
    </xf>
    <xf numFmtId="0" fontId="42" fillId="0" borderId="2" xfId="1" applyFont="1" applyBorder="1" applyAlignment="1">
      <alignment horizontal="left" vertical="center" wrapText="1"/>
    </xf>
    <xf numFmtId="0" fontId="4" fillId="0" borderId="2" xfId="1" applyFont="1" applyBorder="1"/>
    <xf numFmtId="4" fontId="6" fillId="0" borderId="0" xfId="1" applyNumberFormat="1" applyFont="1"/>
    <xf numFmtId="0" fontId="4" fillId="0" borderId="1" xfId="1" applyFont="1" applyBorder="1" applyAlignment="1">
      <alignment horizontal="left" vertical="top" wrapText="1" indent="1"/>
    </xf>
    <xf numFmtId="0" fontId="0" fillId="3" borderId="8" xfId="1" applyFont="1" applyFill="1" applyBorder="1" applyAlignment="1">
      <alignment vertical="center" wrapText="1"/>
    </xf>
    <xf numFmtId="0" fontId="0" fillId="0" borderId="0" xfId="1" applyFont="1"/>
    <xf numFmtId="0" fontId="55" fillId="4" borderId="0" xfId="0" applyFont="1" applyFill="1"/>
    <xf numFmtId="0" fontId="1" fillId="0" borderId="0" xfId="1" applyFont="1"/>
    <xf numFmtId="0" fontId="1" fillId="3" borderId="1" xfId="1" quotePrefix="1" applyFont="1" applyFill="1" applyBorder="1" applyAlignment="1">
      <alignment horizontal="left" vertical="center" wrapText="1"/>
    </xf>
    <xf numFmtId="10" fontId="14" fillId="0" borderId="0" xfId="1" applyNumberFormat="1" applyFont="1"/>
    <xf numFmtId="0" fontId="5" fillId="2" borderId="1" xfId="1" applyFont="1" applyFill="1" applyBorder="1" applyAlignment="1">
      <alignment horizontal="center" vertical="center"/>
    </xf>
    <xf numFmtId="1" fontId="4" fillId="2" borderId="1" xfId="3" applyNumberFormat="1" applyFont="1" applyFill="1" applyBorder="1" applyAlignment="1">
      <alignment horizontal="center" vertical="center"/>
    </xf>
    <xf numFmtId="0" fontId="4" fillId="0" borderId="1" xfId="1" applyFont="1" applyBorder="1" applyAlignment="1">
      <alignment horizontal="center"/>
    </xf>
    <xf numFmtId="0" fontId="4" fillId="2" borderId="1" xfId="1" applyFont="1" applyFill="1" applyBorder="1" applyAlignment="1">
      <alignment horizontal="center"/>
    </xf>
    <xf numFmtId="1" fontId="4" fillId="0" borderId="1" xfId="1" applyNumberFormat="1" applyFont="1" applyBorder="1" applyAlignment="1">
      <alignment horizontal="center"/>
    </xf>
    <xf numFmtId="3" fontId="4" fillId="2" borderId="1" xfId="1" applyNumberFormat="1" applyFont="1" applyFill="1" applyBorder="1" applyAlignment="1">
      <alignment horizontal="center"/>
    </xf>
    <xf numFmtId="0" fontId="4" fillId="2" borderId="1" xfId="3" applyFont="1" applyFill="1" applyBorder="1" applyAlignment="1">
      <alignment horizontal="center" vertical="center"/>
    </xf>
    <xf numFmtId="3" fontId="4" fillId="0" borderId="1" xfId="1" applyNumberFormat="1" applyFont="1" applyBorder="1" applyAlignment="1">
      <alignment horizontal="center"/>
    </xf>
    <xf numFmtId="10" fontId="4" fillId="2" borderId="1" xfId="2" applyNumberFormat="1" applyFont="1" applyFill="1" applyBorder="1" applyAlignment="1">
      <alignment horizontal="center"/>
    </xf>
    <xf numFmtId="10" fontId="4" fillId="0" borderId="1" xfId="2" applyNumberFormat="1" applyFont="1" applyFill="1" applyBorder="1" applyAlignment="1">
      <alignment horizontal="center"/>
    </xf>
    <xf numFmtId="170" fontId="4" fillId="2" borderId="1" xfId="1" applyNumberFormat="1" applyFont="1" applyFill="1" applyBorder="1" applyAlignment="1">
      <alignment horizontal="center"/>
    </xf>
    <xf numFmtId="170" fontId="4" fillId="0" borderId="1" xfId="1" applyNumberFormat="1" applyFont="1" applyBorder="1" applyAlignment="1">
      <alignment horizontal="center"/>
    </xf>
    <xf numFmtId="4" fontId="4" fillId="2" borderId="1" xfId="1" applyNumberFormat="1" applyFont="1" applyFill="1" applyBorder="1" applyAlignment="1">
      <alignment horizontal="center"/>
    </xf>
    <xf numFmtId="4" fontId="4" fillId="0" borderId="1" xfId="1" applyNumberFormat="1" applyFont="1" applyBorder="1" applyAlignment="1">
      <alignment horizontal="center"/>
    </xf>
    <xf numFmtId="2" fontId="4" fillId="2" borderId="1" xfId="1" applyNumberFormat="1" applyFont="1" applyFill="1" applyBorder="1" applyAlignment="1">
      <alignment horizontal="center"/>
    </xf>
    <xf numFmtId="2" fontId="4" fillId="0" borderId="1" xfId="1" applyNumberFormat="1" applyFont="1" applyBorder="1" applyAlignment="1">
      <alignment horizontal="center"/>
    </xf>
    <xf numFmtId="167" fontId="4" fillId="2" borderId="1" xfId="1" applyNumberFormat="1" applyFont="1" applyFill="1" applyBorder="1" applyAlignment="1">
      <alignment horizontal="center"/>
    </xf>
    <xf numFmtId="167" fontId="4" fillId="0" borderId="1" xfId="1" applyNumberFormat="1" applyFont="1" applyBorder="1" applyAlignment="1">
      <alignment horizontal="center"/>
    </xf>
    <xf numFmtId="4" fontId="4" fillId="2" borderId="0" xfId="1" applyNumberFormat="1" applyFont="1" applyFill="1" applyAlignment="1">
      <alignment horizontal="center"/>
    </xf>
    <xf numFmtId="0" fontId="54" fillId="3" borderId="0" xfId="3" applyFont="1" applyFill="1" applyAlignment="1">
      <alignment horizontal="left" vertical="center"/>
    </xf>
    <xf numFmtId="4" fontId="50" fillId="0" borderId="1" xfId="0" applyNumberFormat="1" applyFont="1" applyBorder="1" applyAlignment="1">
      <alignment horizontal="center"/>
    </xf>
    <xf numFmtId="10" fontId="6" fillId="0" borderId="0" xfId="1" applyNumberFormat="1" applyFont="1" applyAlignment="1">
      <alignment horizontal="center" vertical="center"/>
    </xf>
    <xf numFmtId="10" fontId="6" fillId="0" borderId="0" xfId="1" applyNumberFormat="1" applyFont="1"/>
    <xf numFmtId="0" fontId="1" fillId="3" borderId="1" xfId="0" applyFont="1" applyFill="1" applyBorder="1" applyAlignment="1">
      <alignment horizontal="center" vertical="center" wrapText="1"/>
    </xf>
    <xf numFmtId="0" fontId="1" fillId="0" borderId="1" xfId="1" applyFont="1" applyBorder="1" applyAlignment="1">
      <alignment horizontal="left" vertical="center" wrapText="1"/>
    </xf>
    <xf numFmtId="4" fontId="1" fillId="0" borderId="1" xfId="1" applyNumberFormat="1" applyFont="1" applyBorder="1" applyAlignment="1">
      <alignment horizontal="center" vertical="center"/>
    </xf>
    <xf numFmtId="2" fontId="1" fillId="0" borderId="1" xfId="0" applyNumberFormat="1" applyFont="1" applyBorder="1" applyAlignment="1">
      <alignment horizontal="center" vertical="center"/>
    </xf>
    <xf numFmtId="10" fontId="1" fillId="0" borderId="1" xfId="1" applyNumberFormat="1" applyFont="1" applyBorder="1" applyAlignment="1">
      <alignment horizontal="center" vertical="center"/>
    </xf>
    <xf numFmtId="0" fontId="1" fillId="5" borderId="1" xfId="1" applyFont="1" applyFill="1" applyBorder="1"/>
    <xf numFmtId="0" fontId="1" fillId="0" borderId="1" xfId="1" applyFont="1" applyBorder="1"/>
    <xf numFmtId="0" fontId="1" fillId="3" borderId="1" xfId="1" quotePrefix="1" applyFont="1" applyFill="1" applyBorder="1"/>
    <xf numFmtId="0" fontId="1" fillId="0" borderId="1" xfId="1" applyFont="1" applyBorder="1" applyAlignment="1">
      <alignment horizontal="left" vertical="center"/>
    </xf>
    <xf numFmtId="2" fontId="1" fillId="0" borderId="1" xfId="1" applyNumberFormat="1" applyFont="1" applyBorder="1" applyAlignment="1">
      <alignment horizontal="center" vertical="center"/>
    </xf>
    <xf numFmtId="0" fontId="1" fillId="5" borderId="0" xfId="1" applyFont="1" applyFill="1" applyAlignment="1">
      <alignment horizontal="left" vertical="center" wrapText="1"/>
    </xf>
    <xf numFmtId="0" fontId="1" fillId="5" borderId="1" xfId="1" applyFont="1" applyFill="1" applyBorder="1" applyAlignment="1">
      <alignment horizontal="left" vertical="center" wrapText="1"/>
    </xf>
    <xf numFmtId="0" fontId="1" fillId="3" borderId="1" xfId="1" applyFont="1" applyFill="1" applyBorder="1" applyAlignment="1">
      <alignment horizontal="left" vertical="center"/>
    </xf>
    <xf numFmtId="4" fontId="1" fillId="3" borderId="1"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10" fontId="1" fillId="3" borderId="1" xfId="1" applyNumberFormat="1" applyFont="1" applyFill="1" applyBorder="1" applyAlignment="1">
      <alignment horizontal="center" vertical="center"/>
    </xf>
    <xf numFmtId="0" fontId="1" fillId="3" borderId="1" xfId="1" quotePrefix="1" applyFont="1" applyFill="1" applyBorder="1" applyAlignment="1">
      <alignment horizontal="left" vertical="center"/>
    </xf>
    <xf numFmtId="0" fontId="1" fillId="3" borderId="1" xfId="1" quotePrefix="1" applyFont="1" applyFill="1" applyBorder="1" applyAlignment="1">
      <alignment horizontal="left" vertical="center" indent="1"/>
    </xf>
    <xf numFmtId="0" fontId="1" fillId="3" borderId="0" xfId="1" quotePrefix="1" applyFont="1" applyFill="1" applyAlignment="1">
      <alignment horizontal="left" vertical="center" indent="1"/>
    </xf>
    <xf numFmtId="0" fontId="1" fillId="0" borderId="0" xfId="1" applyFont="1" applyAlignment="1">
      <alignment wrapText="1"/>
    </xf>
    <xf numFmtId="10" fontId="1" fillId="0" borderId="0" xfId="1" applyNumberFormat="1" applyFont="1"/>
    <xf numFmtId="0" fontId="1" fillId="3" borderId="1" xfId="1" applyFont="1" applyFill="1" applyBorder="1" applyAlignment="1">
      <alignment horizontal="left" vertical="center" wrapText="1"/>
    </xf>
    <xf numFmtId="4" fontId="1" fillId="0" borderId="0" xfId="1" applyNumberFormat="1" applyFont="1"/>
    <xf numFmtId="0" fontId="1" fillId="3" borderId="8" xfId="1" applyFont="1" applyFill="1" applyBorder="1" applyAlignment="1">
      <alignment vertical="center" wrapText="1"/>
    </xf>
    <xf numFmtId="0" fontId="1" fillId="3" borderId="0" xfId="1" applyFont="1" applyFill="1" applyAlignment="1">
      <alignment vertical="center" wrapText="1"/>
    </xf>
    <xf numFmtId="0" fontId="1" fillId="3" borderId="1" xfId="1" applyFont="1" applyFill="1" applyBorder="1"/>
    <xf numFmtId="0" fontId="1" fillId="3" borderId="1" xfId="1" quotePrefix="1" applyFont="1" applyFill="1" applyBorder="1" applyAlignment="1">
      <alignment vertical="top"/>
    </xf>
    <xf numFmtId="0" fontId="1" fillId="0" borderId="1" xfId="1" quotePrefix="1" applyFont="1" applyBorder="1" applyAlignment="1">
      <alignment horizontal="left" vertical="top" indent="1"/>
    </xf>
    <xf numFmtId="0" fontId="1" fillId="0" borderId="1" xfId="1" applyFont="1" applyBorder="1" applyAlignment="1">
      <alignment vertical="top"/>
    </xf>
    <xf numFmtId="0" fontId="1" fillId="3" borderId="1" xfId="1" applyFont="1" applyFill="1" applyBorder="1" applyAlignment="1">
      <alignment horizontal="center" vertical="center"/>
    </xf>
    <xf numFmtId="10" fontId="1" fillId="0" borderId="1" xfId="2" applyNumberFormat="1" applyFont="1" applyFill="1" applyBorder="1" applyAlignment="1">
      <alignment horizontal="center" vertical="center"/>
    </xf>
    <xf numFmtId="0" fontId="1" fillId="2" borderId="1" xfId="1" applyFont="1" applyFill="1" applyBorder="1" applyAlignment="1">
      <alignment horizontal="left" vertical="center" wrapText="1"/>
    </xf>
    <xf numFmtId="10" fontId="1" fillId="2" borderId="1" xfId="2" applyNumberFormat="1" applyFont="1" applyFill="1" applyBorder="1" applyAlignment="1">
      <alignment horizontal="center" vertical="center"/>
    </xf>
    <xf numFmtId="49" fontId="1" fillId="0" borderId="1" xfId="1" applyNumberFormat="1" applyFont="1" applyBorder="1" applyAlignment="1">
      <alignment horizontal="left" vertical="center" wrapText="1" indent="2"/>
    </xf>
    <xf numFmtId="3" fontId="1" fillId="0" borderId="1" xfId="1" applyNumberFormat="1" applyFont="1" applyBorder="1" applyAlignment="1">
      <alignment horizontal="center" vertical="center"/>
    </xf>
    <xf numFmtId="1" fontId="1" fillId="0" borderId="1" xfId="1" applyNumberFormat="1" applyFont="1" applyBorder="1" applyAlignment="1">
      <alignment horizontal="center" vertical="center"/>
    </xf>
    <xf numFmtId="0" fontId="1" fillId="2" borderId="1" xfId="0" applyFont="1" applyFill="1" applyBorder="1" applyAlignment="1">
      <alignment horizontal="center" vertical="center" wrapText="1"/>
    </xf>
    <xf numFmtId="165" fontId="1" fillId="2" borderId="1" xfId="2" applyNumberFormat="1" applyFont="1" applyFill="1" applyBorder="1" applyAlignment="1">
      <alignment horizontal="center" vertical="center"/>
    </xf>
    <xf numFmtId="0" fontId="1" fillId="2" borderId="1" xfId="1" applyFont="1" applyFill="1" applyBorder="1" applyAlignment="1">
      <alignment horizontal="center" vertical="center" wrapText="1"/>
    </xf>
    <xf numFmtId="10" fontId="1" fillId="2" borderId="1" xfId="1" applyNumberFormat="1" applyFont="1" applyFill="1" applyBorder="1" applyAlignment="1">
      <alignment horizontal="center" vertical="center" wrapText="1"/>
    </xf>
    <xf numFmtId="0" fontId="1" fillId="2" borderId="1" xfId="1" applyFont="1" applyFill="1" applyBorder="1" applyAlignment="1">
      <alignment horizontal="left" vertical="top" wrapText="1"/>
    </xf>
    <xf numFmtId="0" fontId="1" fillId="0" borderId="1" xfId="1" applyFont="1" applyBorder="1" applyAlignment="1">
      <alignment horizontal="left" vertical="top" wrapText="1"/>
    </xf>
    <xf numFmtId="10" fontId="1" fillId="0" borderId="1" xfId="1" applyNumberFormat="1" applyFont="1" applyBorder="1" applyAlignment="1">
      <alignment horizontal="center" vertical="center" wrapText="1"/>
    </xf>
    <xf numFmtId="0" fontId="1" fillId="0" borderId="0" xfId="1" applyFont="1" applyAlignment="1">
      <alignment horizontal="left" vertical="top" wrapText="1"/>
    </xf>
    <xf numFmtId="10" fontId="1" fillId="0" borderId="0" xfId="1" applyNumberFormat="1" applyFont="1" applyAlignment="1">
      <alignment horizontal="center" vertical="center" wrapText="1"/>
    </xf>
    <xf numFmtId="10" fontId="1" fillId="0" borderId="0" xfId="1" applyNumberFormat="1" applyFont="1" applyAlignment="1">
      <alignment horizontal="center" vertical="center"/>
    </xf>
    <xf numFmtId="0" fontId="1" fillId="3" borderId="1" xfId="1" applyFont="1" applyFill="1" applyBorder="1" applyAlignment="1">
      <alignment vertical="center" wrapText="1"/>
    </xf>
    <xf numFmtId="10" fontId="1" fillId="3" borderId="1" xfId="2"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166"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xf>
    <xf numFmtId="0" fontId="1" fillId="0" borderId="1" xfId="1" quotePrefix="1" applyFont="1" applyBorder="1" applyAlignment="1">
      <alignment vertical="center"/>
    </xf>
    <xf numFmtId="0" fontId="1" fillId="3" borderId="1" xfId="0" quotePrefix="1" applyFont="1" applyFill="1" applyBorder="1" applyAlignment="1">
      <alignment vertical="center" wrapText="1"/>
    </xf>
    <xf numFmtId="0" fontId="1" fillId="3" borderId="1" xfId="0" applyFont="1" applyFill="1" applyBorder="1" applyAlignment="1">
      <alignment vertical="center"/>
    </xf>
    <xf numFmtId="166" fontId="1" fillId="3" borderId="1" xfId="0" applyNumberFormat="1"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1" xfId="1" quotePrefix="1" applyFont="1" applyBorder="1" applyAlignment="1">
      <alignment horizontal="left" vertical="top"/>
    </xf>
    <xf numFmtId="4" fontId="1" fillId="0" borderId="1" xfId="1" quotePrefix="1" applyNumberFormat="1" applyFont="1" applyBorder="1" applyAlignment="1">
      <alignment horizontal="left" vertical="center"/>
    </xf>
    <xf numFmtId="0" fontId="1" fillId="0" borderId="1" xfId="1" quotePrefix="1" applyFont="1" applyBorder="1" applyAlignment="1">
      <alignment horizontal="left" vertical="center" wrapText="1"/>
    </xf>
    <xf numFmtId="4" fontId="1" fillId="0" borderId="1" xfId="0" applyNumberFormat="1" applyFont="1" applyBorder="1" applyAlignment="1">
      <alignment horizontal="center" vertical="center"/>
    </xf>
    <xf numFmtId="0" fontId="1" fillId="3" borderId="1" xfId="1" quotePrefix="1" applyFont="1" applyFill="1" applyBorder="1" applyAlignment="1">
      <alignment horizontal="left" vertical="center" wrapText="1" indent="1"/>
    </xf>
    <xf numFmtId="2" fontId="1" fillId="5" borderId="1" xfId="1" applyNumberFormat="1" applyFont="1" applyFill="1" applyBorder="1" applyAlignment="1">
      <alignment horizontal="center" vertical="center"/>
    </xf>
    <xf numFmtId="10" fontId="1" fillId="5" borderId="1" xfId="1" applyNumberFormat="1" applyFont="1" applyFill="1" applyBorder="1" applyAlignment="1">
      <alignment horizontal="center" vertical="center"/>
    </xf>
    <xf numFmtId="0" fontId="1" fillId="0" borderId="1" xfId="1" quotePrefix="1" applyFont="1" applyBorder="1" applyAlignment="1">
      <alignment horizontal="left" vertical="top" wrapText="1"/>
    </xf>
    <xf numFmtId="0" fontId="1" fillId="0" borderId="1" xfId="1" quotePrefix="1" applyFont="1" applyBorder="1" applyAlignment="1">
      <alignment horizontal="left" vertical="top" wrapText="1" indent="1"/>
    </xf>
    <xf numFmtId="4" fontId="1" fillId="0" borderId="1" xfId="1" quotePrefix="1" applyNumberFormat="1" applyFont="1" applyBorder="1" applyAlignment="1">
      <alignment horizontal="left" vertical="top" wrapText="1"/>
    </xf>
    <xf numFmtId="0" fontId="1" fillId="3" borderId="0" xfId="1" applyFont="1" applyFill="1"/>
    <xf numFmtId="0" fontId="1" fillId="2" borderId="1" xfId="1" applyFont="1" applyFill="1" applyBorder="1"/>
    <xf numFmtId="10" fontId="1" fillId="2" borderId="1" xfId="1" applyNumberFormat="1" applyFont="1" applyFill="1" applyBorder="1" applyAlignment="1">
      <alignment horizontal="center"/>
    </xf>
    <xf numFmtId="0" fontId="1" fillId="3" borderId="1" xfId="1" applyFont="1" applyFill="1" applyBorder="1" applyAlignment="1">
      <alignment horizontal="center" vertical="center" wrapText="1"/>
    </xf>
    <xf numFmtId="0" fontId="2" fillId="5"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cellXfs>
  <cellStyles count="6">
    <cellStyle name="Comma 2" xfId="4" xr:uid="{50D380AD-74C8-4A56-88F1-97D78AB9B5EC}"/>
    <cellStyle name="Hyperlink 2" xfId="5" xr:uid="{A85D1CF2-D52D-4DE4-B0E0-80CE0E1D13F6}"/>
    <cellStyle name="Normal" xfId="0" builtinId="0"/>
    <cellStyle name="Normal 2" xfId="1" xr:uid="{5C3C46F5-7D17-4A06-954F-B1B7E9970AA5}"/>
    <cellStyle name="Normal 3" xfId="3" xr:uid="{E9D6A564-6F20-4AD7-AE70-9FBEC5FF2CD4}"/>
    <cellStyle name="Percent 2" xfId="2" xr:uid="{C6A94394-5A4F-4B6C-A21D-38AEED5E40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Abteilung_7\Arbeitsgruppe%20Werkstattanalyse%20nach%209.ER&#228;G\Phase%202%20-%20Wettbewerbspr&#252;fung\Marktabfrage\R&#252;cklauf\Auswertung\Vergleiche\Steckbriefe%20M&#228;rkte%20Wartungseinrichtunge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rrrt-my.sharepoint.com/personal/daniele_kazilionyte_rrt_lt/Documents/Documents/Metin&#279;%20ataskaita%202023/Gele&#382;inkeliai.xlsx" TargetMode="External"/><Relationship Id="rId1" Type="http://schemas.openxmlformats.org/officeDocument/2006/relationships/externalLinkPath" Target="https://lrrrt.sharepoint.com/personal/daniele_kazilionyte_rrt_lt/Documents/Documents/Metin&#279;%20ataskaita%202023/Gele&#382;inkelia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lrrrt-my.sharepoint.com/personal/renata_stambrauske_rrt_lt/Documents/Desktop/Darbiniai%20duomenys/Suvestiniai%20duomenys%20Mariu&#353;ui.xlsx" TargetMode="External"/><Relationship Id="rId1" Type="http://schemas.openxmlformats.org/officeDocument/2006/relationships/externalLinkPath" Target="https://lrrrt.sharepoint.com/sites/Geleinkelisektoriausduomenys/Bendrai%20naudojami%20dokumentai/Gele&#382;inkeli&#371;%20duomenys/Desktop/Metin&#279;%20ataskaita/Darbiniai%20duomenys/Suvestiniai%20duomenys%20Mariu&#353;u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s2\GPRG\Gelezinkeliai\Statistika\Darbiniai%20failai\2023\2023\Duomenys\2022%20duomenys\2022v.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bs2\GPRG\Gelezinkeliai\Statistika\2023_duomenys\Uzpildytos_formos_2023.xlsx" TargetMode="External"/><Relationship Id="rId1" Type="http://schemas.openxmlformats.org/officeDocument/2006/relationships/externalLinkPath" Target="file:///\\bs2\GPRG\Gelezinkeliai\Statistika\2023_duomenys\Uzpildytos_formos_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s2\GPRG\Gelezinkeliai\Statistika\Darbiniai%20failai\2023\2023\Duomenys\2022%20duomenys\2022i.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bs2\GPRG\Gelezinkeliai\Statistika\2023_duomenys\Suvestiniai%20duomenys.xlsx" TargetMode="External"/><Relationship Id="rId1" Type="http://schemas.openxmlformats.org/officeDocument/2006/relationships/externalLinkPath" Target="file:///\\bs2\GPRG\Gelezinkeliai\Statistika\2023_duomenys\Suvestiniai%20duomeny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1"/>
      <sheetName val="M2"/>
      <sheetName val="M3"/>
      <sheetName val="M4"/>
      <sheetName val="M5"/>
      <sheetName val="M6"/>
      <sheetName val="M7"/>
      <sheetName val="M8"/>
      <sheetName val="M9"/>
      <sheetName val="M10"/>
      <sheetName val="M11"/>
      <sheetName val="M12"/>
      <sheetName val="M13"/>
      <sheetName val="M14"/>
      <sheetName val="M15"/>
      <sheetName val="Vergleiche"/>
      <sheetName val="Marktvolumina"/>
      <sheetName val="Portfolio"/>
      <sheetName val="EBA Fzg-Summen"/>
      <sheetName val="f"/>
      <sheetName val="Apibendrinta vežėjų indormacija"/>
      <sheetName val="lentelės ataskaitai"/>
      <sheetName val="LTG Cargo"/>
      <sheetName val="AC"/>
      <sheetName val="GG"/>
      <sheetName val="LTG_Lin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ukinių eismas"/>
      <sheetName val="Neto tkm"/>
      <sheetName val="Keleivio km"/>
      <sheetName val="IV pajamos"/>
      <sheetName val="Užmokesčiai už GPĮ"/>
      <sheetName val="GĮ pajamos"/>
      <sheetName val="Faktinė darbo apimtis"/>
      <sheetName val="Kita info GĮ"/>
      <sheetName val="Traukinių eismas el."/>
      <sheetName val="Kita info IV"/>
    </sheetNames>
    <sheetDataSet>
      <sheetData sheetId="0"/>
      <sheetData sheetId="1"/>
      <sheetData sheetId="2"/>
      <sheetData sheetId="3"/>
      <sheetData sheetId="4"/>
      <sheetData sheetId="5"/>
      <sheetData sheetId="6"/>
      <sheetData sheetId="7"/>
      <sheetData sheetId="8"/>
      <sheetData sheetId="9">
        <row r="15">
          <cell r="C15">
            <v>37.9</v>
          </cell>
          <cell r="D15">
            <v>36.799999999999997</v>
          </cell>
          <cell r="E15">
            <v>35.36</v>
          </cell>
          <cell r="F15">
            <v>36.729999999999997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tinklas"/>
      <sheetName val="2_rinka_duomenys"/>
      <sheetName val="rinkos_apzvalga"/>
      <sheetName val="papild_lenteles"/>
      <sheetName val="PIVOT_f1"/>
      <sheetName val="PIVOT_f3"/>
      <sheetName val="PIVOT_f4"/>
      <sheetName val="f1_duom"/>
      <sheetName val="f3_duom"/>
      <sheetName val="f4_duom"/>
      <sheetName val="2_rinka_graf_lent"/>
      <sheetName val="3_darbuotojai"/>
      <sheetName val="4_uzmokesciai"/>
      <sheetName val="5_pajamos_sanaudos"/>
      <sheetName val="6_punktualumas"/>
      <sheetName val="7_krovos terminalai_GPI"/>
      <sheetName val="9_kitos_salys"/>
    </sheetNames>
    <sheetDataSet>
      <sheetData sheetId="0" refreshError="1"/>
      <sheetData sheetId="1" refreshError="1">
        <row r="2">
          <cell r="C2">
            <v>2019</v>
          </cell>
          <cell r="D2">
            <v>2020</v>
          </cell>
          <cell r="E2">
            <v>2021</v>
          </cell>
          <cell r="F2">
            <v>2022</v>
          </cell>
          <cell r="G2">
            <v>2023</v>
          </cell>
        </row>
        <row r="27">
          <cell r="C27">
            <v>1450194000</v>
          </cell>
          <cell r="D27">
            <v>1088305000</v>
          </cell>
          <cell r="E27">
            <v>1160783269</v>
          </cell>
          <cell r="F27">
            <v>1142083888</v>
          </cell>
          <cell r="G27">
            <v>1129656489</v>
          </cell>
        </row>
        <row r="31">
          <cell r="C31">
            <v>31398111216.290001</v>
          </cell>
          <cell r="D31">
            <v>30127885448</v>
          </cell>
          <cell r="E31">
            <v>27814599999</v>
          </cell>
          <cell r="F31">
            <v>14672341393</v>
          </cell>
          <cell r="G31">
            <v>12682449839.67</v>
          </cell>
        </row>
        <row r="45">
          <cell r="G45">
            <v>8685940568.6700001</v>
          </cell>
        </row>
        <row r="46">
          <cell r="D46">
            <v>22961678706.87204</v>
          </cell>
          <cell r="E46">
            <v>21078202153.575665</v>
          </cell>
          <cell r="F46">
            <v>8020359490.4118252</v>
          </cell>
          <cell r="G46">
            <v>5126165760</v>
          </cell>
        </row>
        <row r="72">
          <cell r="C72">
            <v>7055666</v>
          </cell>
          <cell r="D72">
            <v>6146101</v>
          </cell>
          <cell r="E72">
            <v>5880422</v>
          </cell>
          <cell r="F72">
            <v>6667052</v>
          </cell>
          <cell r="G72">
            <v>6821373</v>
          </cell>
        </row>
        <row r="76">
          <cell r="C76">
            <v>9850200</v>
          </cell>
          <cell r="D76">
            <v>9671496</v>
          </cell>
          <cell r="E76">
            <v>9209395</v>
          </cell>
          <cell r="F76">
            <v>5472592</v>
          </cell>
          <cell r="G76">
            <v>4883952</v>
          </cell>
        </row>
        <row r="87">
          <cell r="C87">
            <v>1967183</v>
          </cell>
          <cell r="D87">
            <v>1484597</v>
          </cell>
          <cell r="E87">
            <v>1364760</v>
          </cell>
          <cell r="F87">
            <v>1623033</v>
          </cell>
          <cell r="G87">
            <v>1799727.4782196002</v>
          </cell>
        </row>
        <row r="88">
          <cell r="C88">
            <v>1911197</v>
          </cell>
          <cell r="D88">
            <v>1405245</v>
          </cell>
          <cell r="E88">
            <v>1293031</v>
          </cell>
          <cell r="F88">
            <v>1583385</v>
          </cell>
          <cell r="G88">
            <v>1767093.4782196002</v>
          </cell>
        </row>
        <row r="89">
          <cell r="C89">
            <v>55986</v>
          </cell>
          <cell r="D89">
            <v>79352</v>
          </cell>
          <cell r="E89">
            <v>71729</v>
          </cell>
          <cell r="F89">
            <v>39648</v>
          </cell>
          <cell r="G89">
            <v>32634</v>
          </cell>
        </row>
        <row r="91">
          <cell r="C91">
            <v>14938683</v>
          </cell>
          <cell r="D91">
            <v>14333000</v>
          </cell>
          <cell r="E91">
            <v>13725057</v>
          </cell>
          <cell r="F91">
            <v>10516611</v>
          </cell>
          <cell r="G91">
            <v>9905597.5217803996</v>
          </cell>
        </row>
        <row r="92">
          <cell r="C92">
            <v>5144469</v>
          </cell>
          <cell r="D92">
            <v>4740856</v>
          </cell>
          <cell r="E92">
            <v>4587391</v>
          </cell>
          <cell r="F92">
            <v>5083667</v>
          </cell>
          <cell r="G92">
            <v>5048934.5217803996</v>
          </cell>
        </row>
        <row r="93">
          <cell r="C93">
            <v>9794214</v>
          </cell>
          <cell r="D93">
            <v>9592144</v>
          </cell>
          <cell r="E93">
            <v>9137666</v>
          </cell>
          <cell r="F93">
            <v>5432944</v>
          </cell>
          <cell r="G93">
            <v>4856663</v>
          </cell>
        </row>
        <row r="100">
          <cell r="C100">
            <v>16191224147</v>
          </cell>
          <cell r="D100">
            <v>15877285776</v>
          </cell>
          <cell r="E100">
            <v>14578955313</v>
          </cell>
          <cell r="F100">
            <v>7415686899</v>
          </cell>
          <cell r="G100">
            <v>6395399857</v>
          </cell>
        </row>
        <row r="102">
          <cell r="C102">
            <v>3843935147</v>
          </cell>
          <cell r="D102">
            <v>3830118776</v>
          </cell>
          <cell r="E102">
            <v>3612782212</v>
          </cell>
          <cell r="F102">
            <v>3454492879</v>
          </cell>
          <cell r="G102">
            <v>3914600623</v>
          </cell>
        </row>
        <row r="103">
          <cell r="C103">
            <v>12347289000</v>
          </cell>
          <cell r="D103">
            <v>12047167000</v>
          </cell>
          <cell r="E103">
            <v>10966173101</v>
          </cell>
          <cell r="F103">
            <v>3961194020</v>
          </cell>
          <cell r="G103">
            <v>2480799234</v>
          </cell>
        </row>
        <row r="104">
          <cell r="C104">
            <v>1911531000</v>
          </cell>
          <cell r="D104">
            <v>2594781000</v>
          </cell>
          <cell r="E104">
            <v>2783596785</v>
          </cell>
          <cell r="F104">
            <v>1920906685</v>
          </cell>
          <cell r="G104">
            <v>1455404870</v>
          </cell>
        </row>
        <row r="111">
          <cell r="C111">
            <v>479418929</v>
          </cell>
          <cell r="D111">
            <v>259995356</v>
          </cell>
          <cell r="E111">
            <v>301347941</v>
          </cell>
          <cell r="F111">
            <v>432626534</v>
          </cell>
          <cell r="G111">
            <v>464113978</v>
          </cell>
        </row>
        <row r="113">
          <cell r="C113">
            <v>340789115</v>
          </cell>
          <cell r="D113">
            <v>234128861</v>
          </cell>
          <cell r="E113">
            <v>259410843</v>
          </cell>
          <cell r="F113">
            <v>381394328</v>
          </cell>
          <cell r="G113">
            <v>384121354</v>
          </cell>
        </row>
        <row r="114">
          <cell r="C114">
            <v>138629814</v>
          </cell>
          <cell r="D114">
            <v>25866495</v>
          </cell>
          <cell r="E114">
            <v>41937098</v>
          </cell>
          <cell r="F114">
            <v>51232206</v>
          </cell>
          <cell r="G114">
            <v>79992624</v>
          </cell>
        </row>
        <row r="115">
          <cell r="C115">
            <v>120868000</v>
          </cell>
          <cell r="D115">
            <v>22969293</v>
          </cell>
          <cell r="E115">
            <v>41937098</v>
          </cell>
          <cell r="F115">
            <v>50790831</v>
          </cell>
          <cell r="G115">
            <v>72602000</v>
          </cell>
        </row>
        <row r="130">
          <cell r="C130">
            <v>55209199.957704328</v>
          </cell>
          <cell r="D130">
            <v>55334934</v>
          </cell>
          <cell r="E130">
            <v>52171794</v>
          </cell>
          <cell r="F130">
            <v>32268456</v>
          </cell>
          <cell r="G130">
            <v>27224200</v>
          </cell>
        </row>
        <row r="132">
          <cell r="C132">
            <v>5515895</v>
          </cell>
          <cell r="D132">
            <v>3337665</v>
          </cell>
          <cell r="E132">
            <v>3482957</v>
          </cell>
          <cell r="F132">
            <v>4688192</v>
          </cell>
          <cell r="G132">
            <v>5039083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sheetName val="Apibendrinta vežėjų indormacija"/>
      <sheetName val="lentelės ataskaitai"/>
      <sheetName val="LTG_Link"/>
      <sheetName val="LTG Cargo"/>
      <sheetName val="AC"/>
      <sheetName val="GG"/>
    </sheetNames>
    <sheetDataSet>
      <sheetData sheetId="0"/>
      <sheetData sheetId="1">
        <row r="72">
          <cell r="E72">
            <v>0</v>
          </cell>
        </row>
        <row r="105">
          <cell r="I105">
            <v>522</v>
          </cell>
        </row>
      </sheetData>
      <sheetData sheetId="2">
        <row r="16">
          <cell r="F16">
            <v>3092</v>
          </cell>
        </row>
        <row r="85">
          <cell r="F85">
            <v>202.52550299999999</v>
          </cell>
          <cell r="G85">
            <v>192.93812636999999</v>
          </cell>
          <cell r="H85">
            <v>163.88924900000001</v>
          </cell>
          <cell r="I85">
            <v>105.06</v>
          </cell>
        </row>
        <row r="86">
          <cell r="F86">
            <v>4.031828</v>
          </cell>
          <cell r="G86">
            <v>2.5836993699999993</v>
          </cell>
          <cell r="H86">
            <v>3.1697449999999998</v>
          </cell>
          <cell r="I86">
            <v>3.08</v>
          </cell>
        </row>
        <row r="87">
          <cell r="F87">
            <v>198.493675</v>
          </cell>
          <cell r="G87">
            <v>190.35442699999999</v>
          </cell>
          <cell r="H87">
            <v>160.719504</v>
          </cell>
          <cell r="I87">
            <v>101.98</v>
          </cell>
        </row>
        <row r="88">
          <cell r="F88">
            <v>477.08</v>
          </cell>
          <cell r="G88">
            <v>436.39310800000004</v>
          </cell>
          <cell r="H88">
            <v>431.28821700000003</v>
          </cell>
          <cell r="I88">
            <v>345.78</v>
          </cell>
        </row>
        <row r="89">
          <cell r="F89">
            <v>58.58</v>
          </cell>
          <cell r="G89">
            <v>48.54</v>
          </cell>
          <cell r="H89">
            <v>56.841000000000001</v>
          </cell>
          <cell r="I89">
            <v>72.34</v>
          </cell>
        </row>
        <row r="90">
          <cell r="F90">
            <v>418.5</v>
          </cell>
          <cell r="G90">
            <v>387.85310800000002</v>
          </cell>
          <cell r="H90">
            <v>374.44721700000002</v>
          </cell>
          <cell r="I90">
            <v>273.44</v>
          </cell>
        </row>
      </sheetData>
      <sheetData sheetId="3">
        <row r="8">
          <cell r="C8">
            <v>6346048</v>
          </cell>
        </row>
      </sheetData>
      <sheetData sheetId="4">
        <row r="7">
          <cell r="E7" t="str">
            <v>-</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f"/>
      <sheetName val="2f"/>
      <sheetName val="3f"/>
      <sheetName val="4f"/>
      <sheetName val="5f"/>
      <sheetName val="6f"/>
      <sheetName val="13-14 lentelės UžmokesčiaiMPP"/>
    </sheetNames>
    <sheetDataSet>
      <sheetData sheetId="0">
        <row r="72">
          <cell r="F72">
            <v>199686</v>
          </cell>
        </row>
        <row r="73">
          <cell r="F73">
            <v>80357</v>
          </cell>
        </row>
        <row r="77">
          <cell r="F77">
            <v>119329</v>
          </cell>
        </row>
        <row r="86">
          <cell r="F86">
            <v>58752</v>
          </cell>
        </row>
        <row r="89">
          <cell r="F89">
            <v>34117</v>
          </cell>
        </row>
        <row r="92">
          <cell r="F92">
            <v>88102</v>
          </cell>
        </row>
        <row r="93">
          <cell r="F93">
            <v>14104</v>
          </cell>
        </row>
        <row r="97">
          <cell r="F97">
            <v>73998</v>
          </cell>
        </row>
        <row r="127">
          <cell r="F127">
            <v>2245</v>
          </cell>
        </row>
        <row r="129">
          <cell r="F129">
            <v>2245</v>
          </cell>
        </row>
        <row r="140">
          <cell r="F140">
            <v>0</v>
          </cell>
        </row>
      </sheetData>
      <sheetData sheetId="1"/>
      <sheetData sheetId="2">
        <row r="60">
          <cell r="Q60">
            <v>81285907</v>
          </cell>
        </row>
        <row r="63">
          <cell r="Q63">
            <v>33995036</v>
          </cell>
        </row>
        <row r="157">
          <cell r="Q157">
            <v>268585987</v>
          </cell>
        </row>
      </sheetData>
      <sheetData sheetId="3">
        <row r="39">
          <cell r="I39">
            <v>506.75</v>
          </cell>
        </row>
      </sheetData>
      <sheetData sheetId="4">
        <row r="5">
          <cell r="D5">
            <v>12445376.370000001</v>
          </cell>
        </row>
      </sheetData>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valdytojo_informacija_I_dalis"/>
      <sheetName val="ataskaitai"/>
      <sheetName val="vadytojo_informacija_II_dalis"/>
      <sheetName val="13-14 lentelės UžmokesčiaiMPP"/>
    </sheetNames>
    <sheetDataSet>
      <sheetData sheetId="0"/>
      <sheetData sheetId="1">
        <row r="14">
          <cell r="D14">
            <v>9947381</v>
          </cell>
        </row>
      </sheetData>
      <sheetData sheetId="2">
        <row r="10">
          <cell r="G10">
            <v>206000</v>
          </cell>
        </row>
        <row r="76">
          <cell r="G76">
            <v>200190</v>
          </cell>
          <cell r="H76">
            <v>224851</v>
          </cell>
          <cell r="I76">
            <v>168534</v>
          </cell>
          <cell r="J76">
            <v>134785</v>
          </cell>
        </row>
        <row r="77">
          <cell r="G77">
            <v>194169</v>
          </cell>
          <cell r="H77">
            <v>169602</v>
          </cell>
          <cell r="I77">
            <v>123186</v>
          </cell>
          <cell r="J77">
            <v>112654</v>
          </cell>
        </row>
        <row r="78">
          <cell r="G78">
            <v>80497</v>
          </cell>
          <cell r="H78">
            <v>65568</v>
          </cell>
          <cell r="I78">
            <v>47967</v>
          </cell>
          <cell r="J78">
            <v>60048</v>
          </cell>
        </row>
        <row r="79">
          <cell r="G79">
            <v>113672</v>
          </cell>
          <cell r="H79">
            <v>104034</v>
          </cell>
          <cell r="I79">
            <v>75219</v>
          </cell>
          <cell r="J79">
            <v>52606</v>
          </cell>
        </row>
        <row r="83">
          <cell r="G83">
            <v>354</v>
          </cell>
          <cell r="H83">
            <v>26489</v>
          </cell>
          <cell r="I83">
            <v>4688</v>
          </cell>
          <cell r="J83">
            <v>893</v>
          </cell>
        </row>
        <row r="84">
          <cell r="G84">
            <v>354</v>
          </cell>
          <cell r="H84">
            <v>26489</v>
          </cell>
          <cell r="I84">
            <v>4688</v>
          </cell>
          <cell r="J84">
            <v>893</v>
          </cell>
        </row>
        <row r="85">
          <cell r="G85">
            <v>0</v>
          </cell>
          <cell r="H85">
            <v>0</v>
          </cell>
          <cell r="I85">
            <v>0</v>
          </cell>
          <cell r="J85">
            <v>0</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tinklas"/>
      <sheetName val="2_rinka_duomenys"/>
      <sheetName val="2_rinka_graf_lent"/>
      <sheetName val="3_darbuotojai"/>
      <sheetName val="4_uzmokesciai"/>
      <sheetName val="5_pajamos_sanaudos"/>
      <sheetName val="6_punktualumas"/>
      <sheetName val="7_krovos terminalai_GPI"/>
      <sheetName val="9_kitos_salys"/>
    </sheetNames>
    <sheetDataSet>
      <sheetData sheetId="0">
        <row r="2">
          <cell r="D2">
            <v>1924.3000000000002</v>
          </cell>
        </row>
        <row r="5">
          <cell r="D5">
            <v>152.4</v>
          </cell>
        </row>
      </sheetData>
      <sheetData sheetId="1">
        <row r="72">
          <cell r="G72">
            <v>6821373</v>
          </cell>
        </row>
        <row r="76">
          <cell r="G76">
            <v>4883952</v>
          </cell>
        </row>
        <row r="100">
          <cell r="G100">
            <v>6395399857</v>
          </cell>
        </row>
        <row r="111">
          <cell r="G111">
            <v>464113978</v>
          </cell>
        </row>
        <row r="130">
          <cell r="G130">
            <v>27224200</v>
          </cell>
        </row>
        <row r="132">
          <cell r="G132">
            <v>5039083</v>
          </cell>
        </row>
        <row r="135">
          <cell r="G135">
            <v>319834</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0939-7DAA-4389-A890-6ECBA39ACE01}">
  <dimension ref="A1:CW30"/>
  <sheetViews>
    <sheetView showGridLines="0" tabSelected="1" zoomScale="110" zoomScaleNormal="110" workbookViewId="0">
      <selection activeCell="K16" sqref="K16"/>
    </sheetView>
  </sheetViews>
  <sheetFormatPr defaultColWidth="8.7265625" defaultRowHeight="14.25"/>
  <cols>
    <col min="1" max="1" width="38.54296875" style="48" customWidth="1"/>
    <col min="2" max="3" width="9.86328125" style="48" bestFit="1" customWidth="1"/>
    <col min="4" max="5" width="8.86328125" style="48" bestFit="1" customWidth="1"/>
    <col min="6" max="6" width="10.7265625" style="48" bestFit="1" customWidth="1"/>
    <col min="7" max="7" width="10.54296875" style="48" bestFit="1" customWidth="1"/>
    <col min="8" max="8" width="12.1328125" style="48" customWidth="1"/>
    <col min="9" max="16384" width="8.7265625" style="32"/>
  </cols>
  <sheetData>
    <row r="1" spans="1:101" s="210" customFormat="1">
      <c r="A1" s="208" t="s">
        <v>0</v>
      </c>
      <c r="B1" s="209"/>
      <c r="C1" s="209"/>
      <c r="D1" s="209"/>
      <c r="E1" s="209"/>
      <c r="F1" s="209"/>
      <c r="G1" s="209"/>
      <c r="H1" s="209"/>
      <c r="J1" s="211"/>
    </row>
    <row r="3" spans="1:101">
      <c r="A3" s="33" t="s">
        <v>1</v>
      </c>
      <c r="B3" s="33"/>
      <c r="C3" s="34"/>
      <c r="D3" s="34"/>
      <c r="E3" s="34"/>
      <c r="F3" s="34"/>
      <c r="G3" s="34"/>
      <c r="H3" s="34"/>
      <c r="I3" s="31"/>
      <c r="J3" s="207"/>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row>
    <row r="4" spans="1:101" ht="24">
      <c r="A4" s="35" t="s">
        <v>2</v>
      </c>
      <c r="B4" s="35">
        <v>2019</v>
      </c>
      <c r="C4" s="35" t="s">
        <v>3</v>
      </c>
      <c r="D4" s="35" t="s">
        <v>4</v>
      </c>
      <c r="E4" s="35" t="s">
        <v>5</v>
      </c>
      <c r="F4" s="35" t="s">
        <v>6</v>
      </c>
      <c r="G4" s="35" t="s">
        <v>7</v>
      </c>
      <c r="H4" s="36" t="s">
        <v>8</v>
      </c>
    </row>
    <row r="5" spans="1:101">
      <c r="A5" s="37" t="s">
        <v>9</v>
      </c>
      <c r="B5" s="262">
        <v>1911</v>
      </c>
      <c r="C5" s="262">
        <v>1911</v>
      </c>
      <c r="D5" s="262">
        <v>1911</v>
      </c>
      <c r="E5" s="262">
        <v>1911</v>
      </c>
      <c r="F5" s="263">
        <v>1919.2</v>
      </c>
      <c r="G5" s="263">
        <v>1924.3</v>
      </c>
      <c r="H5" s="108">
        <f t="shared" ref="H5:H9" si="0">G5-F5</f>
        <v>5.0999999999999091</v>
      </c>
    </row>
    <row r="6" spans="1:101">
      <c r="A6" s="43" t="s">
        <v>10</v>
      </c>
      <c r="B6" s="284">
        <v>1796.1</v>
      </c>
      <c r="C6" s="284">
        <v>1796.1</v>
      </c>
      <c r="D6" s="284">
        <v>1790.6</v>
      </c>
      <c r="E6" s="284">
        <v>1790.6</v>
      </c>
      <c r="F6" s="284">
        <v>1790.8</v>
      </c>
      <c r="G6" s="284">
        <v>1795.9</v>
      </c>
      <c r="H6" s="109">
        <f t="shared" si="0"/>
        <v>5.1000000000001364</v>
      </c>
      <c r="J6" s="92"/>
      <c r="K6" s="102"/>
      <c r="L6" s="102"/>
      <c r="M6" s="102"/>
      <c r="N6" s="102"/>
      <c r="O6" s="102"/>
      <c r="P6" s="102"/>
      <c r="Q6" s="102"/>
    </row>
    <row r="7" spans="1:101">
      <c r="A7" s="40" t="s">
        <v>11</v>
      </c>
      <c r="B7" s="38">
        <v>152</v>
      </c>
      <c r="C7" s="38">
        <v>152</v>
      </c>
      <c r="D7" s="38">
        <v>156</v>
      </c>
      <c r="E7" s="38">
        <v>156</v>
      </c>
      <c r="F7" s="38">
        <v>152</v>
      </c>
      <c r="G7" s="39">
        <v>152</v>
      </c>
      <c r="H7" s="42">
        <f t="shared" si="0"/>
        <v>0</v>
      </c>
      <c r="J7" s="102"/>
    </row>
    <row r="8" spans="1:101" ht="22.5" customHeight="1">
      <c r="A8" s="40" t="s">
        <v>12</v>
      </c>
      <c r="B8" s="41">
        <f>B7/B6*100/100</f>
        <v>8.4627804687934974E-2</v>
      </c>
      <c r="C8" s="41">
        <f t="shared" ref="C8:G8" si="1">C7/C6*100/100</f>
        <v>8.4627804687934974E-2</v>
      </c>
      <c r="D8" s="41">
        <f t="shared" si="1"/>
        <v>8.7121635206076173E-2</v>
      </c>
      <c r="E8" s="41">
        <f t="shared" si="1"/>
        <v>8.7121635206076173E-2</v>
      </c>
      <c r="F8" s="41">
        <f t="shared" si="1"/>
        <v>8.4878266696448518E-2</v>
      </c>
      <c r="G8" s="41">
        <f t="shared" si="1"/>
        <v>8.4637229244389989E-2</v>
      </c>
      <c r="H8" s="42">
        <f t="shared" si="0"/>
        <v>-2.41037452058529E-4</v>
      </c>
    </row>
    <row r="9" spans="1:101">
      <c r="A9" s="43" t="s">
        <v>13</v>
      </c>
      <c r="B9" s="284">
        <v>115.2</v>
      </c>
      <c r="C9" s="284">
        <v>115.2</v>
      </c>
      <c r="D9" s="284">
        <v>120.1</v>
      </c>
      <c r="E9" s="284">
        <v>120.1</v>
      </c>
      <c r="F9" s="284">
        <v>128.4</v>
      </c>
      <c r="G9" s="284">
        <v>128.4</v>
      </c>
      <c r="H9" s="110">
        <f t="shared" si="0"/>
        <v>0</v>
      </c>
      <c r="J9" s="92"/>
    </row>
    <row r="10" spans="1:101">
      <c r="A10" s="44"/>
      <c r="B10" s="45"/>
      <c r="C10" s="45"/>
      <c r="D10" s="45"/>
      <c r="E10" s="45"/>
      <c r="F10" s="45"/>
      <c r="G10" s="46"/>
      <c r="H10" s="47"/>
    </row>
    <row r="11" spans="1:101">
      <c r="A11" s="33" t="s">
        <v>14</v>
      </c>
    </row>
    <row r="12" spans="1:101" ht="24">
      <c r="A12" s="49" t="s">
        <v>2</v>
      </c>
      <c r="B12" s="49">
        <v>2019</v>
      </c>
      <c r="C12" s="49" t="s">
        <v>3</v>
      </c>
      <c r="D12" s="49" t="s">
        <v>4</v>
      </c>
      <c r="E12" s="49" t="s">
        <v>5</v>
      </c>
      <c r="F12" s="49" t="s">
        <v>6</v>
      </c>
      <c r="G12" s="49" t="s">
        <v>7</v>
      </c>
      <c r="H12" s="50" t="s">
        <v>8</v>
      </c>
      <c r="J12" s="92"/>
    </row>
    <row r="13" spans="1:101" ht="14.75">
      <c r="A13" s="54" t="s">
        <v>15</v>
      </c>
      <c r="B13" s="349" t="s">
        <v>16</v>
      </c>
      <c r="C13" s="349" t="s">
        <v>16</v>
      </c>
      <c r="D13" s="349" t="s">
        <v>16</v>
      </c>
      <c r="E13" s="349" t="s">
        <v>16</v>
      </c>
      <c r="F13" s="51">
        <v>51.69</v>
      </c>
      <c r="G13" s="51">
        <v>50.5</v>
      </c>
      <c r="H13" s="52">
        <f>((G13/F13*100)-100)/100</f>
        <v>-2.3021861094989333E-2</v>
      </c>
      <c r="J13" s="207"/>
    </row>
    <row r="14" spans="1:101">
      <c r="A14" s="58" t="s">
        <v>17</v>
      </c>
      <c r="B14" s="264">
        <f>'[2]Kita info IV'!$C$15</f>
        <v>37.9</v>
      </c>
      <c r="C14" s="264">
        <f>'[2]Kita info IV'!$D$15</f>
        <v>36.799999999999997</v>
      </c>
      <c r="D14" s="264">
        <f>'[2]Kita info IV'!$E$15</f>
        <v>35.36</v>
      </c>
      <c r="E14" s="264">
        <f>'[2]Kita info IV'!$F$15</f>
        <v>36.729999999999997</v>
      </c>
      <c r="F14" s="53">
        <v>55.68</v>
      </c>
      <c r="G14" s="53">
        <v>55.25</v>
      </c>
      <c r="H14" s="52">
        <f>((G14/F14*100)-100)/100</f>
        <v>-7.7227011494252909E-3</v>
      </c>
      <c r="J14" s="207"/>
    </row>
    <row r="15" spans="1:101" ht="14.75">
      <c r="A15" s="44"/>
      <c r="B15" s="100"/>
      <c r="C15" s="100"/>
      <c r="D15" s="100"/>
      <c r="E15" s="100"/>
      <c r="F15" s="45"/>
      <c r="G15" s="46"/>
      <c r="H15" s="47"/>
    </row>
    <row r="16" spans="1:101">
      <c r="A16" s="33" t="s">
        <v>18</v>
      </c>
      <c r="B16" s="33"/>
      <c r="C16" s="34"/>
      <c r="D16" s="34"/>
      <c r="E16" s="34"/>
      <c r="F16" s="34"/>
      <c r="G16" s="295"/>
      <c r="H16" s="34"/>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row>
    <row r="17" spans="1:101">
      <c r="A17" s="49" t="s">
        <v>2</v>
      </c>
      <c r="B17" s="49" t="s">
        <v>6</v>
      </c>
      <c r="C17" s="49" t="s">
        <v>7</v>
      </c>
      <c r="D17" s="296"/>
      <c r="E17" s="29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row>
    <row r="18" spans="1:101">
      <c r="A18" s="54" t="s">
        <v>19</v>
      </c>
      <c r="B18" s="38">
        <v>198766</v>
      </c>
      <c r="C18" s="38">
        <v>146915</v>
      </c>
      <c r="D18" s="296"/>
      <c r="E18" s="345"/>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row>
    <row r="19" spans="1:101" ht="23.5">
      <c r="A19" s="54" t="s">
        <v>20</v>
      </c>
      <c r="B19" s="41">
        <v>0.32162945372951107</v>
      </c>
      <c r="C19" s="303" t="s">
        <v>21</v>
      </c>
      <c r="D19" s="287"/>
      <c r="E19" s="288"/>
      <c r="F19" s="298"/>
      <c r="I19" s="31"/>
      <c r="J19" s="9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row>
    <row r="20" spans="1:101" ht="29.25" customHeight="1">
      <c r="A20" s="299" t="s">
        <v>22</v>
      </c>
      <c r="B20" s="41">
        <v>0.67837054627048887</v>
      </c>
      <c r="C20" s="303" t="s">
        <v>23</v>
      </c>
      <c r="D20" s="287"/>
      <c r="E20" s="45"/>
      <c r="F20" s="298"/>
    </row>
    <row r="21" spans="1:101">
      <c r="A21" s="300"/>
      <c r="B21" s="301"/>
      <c r="C21" s="301"/>
      <c r="D21" s="287"/>
      <c r="E21" s="45"/>
    </row>
    <row r="22" spans="1:101" s="210" customFormat="1" ht="14.5">
      <c r="A22" s="322" t="s">
        <v>24</v>
      </c>
      <c r="B22" s="212"/>
      <c r="C22" s="212"/>
      <c r="D22" s="213"/>
      <c r="E22" s="214"/>
      <c r="F22" s="209"/>
      <c r="G22" s="209"/>
      <c r="H22" s="209"/>
      <c r="J22" s="211"/>
    </row>
    <row r="24" spans="1:101">
      <c r="A24" s="33" t="s">
        <v>25</v>
      </c>
      <c r="B24" s="33"/>
      <c r="C24" s="34"/>
      <c r="D24" s="34"/>
      <c r="E24" s="34"/>
      <c r="F24" s="34"/>
      <c r="G24" s="34"/>
      <c r="H24" s="34"/>
      <c r="I24" s="31"/>
      <c r="J24" s="9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row>
    <row r="25" spans="1:101" ht="24">
      <c r="A25" s="49" t="s">
        <v>2</v>
      </c>
      <c r="B25" s="49">
        <v>2019</v>
      </c>
      <c r="C25" s="49" t="s">
        <v>3</v>
      </c>
      <c r="D25" s="49" t="s">
        <v>4</v>
      </c>
      <c r="E25" s="49" t="s">
        <v>5</v>
      </c>
      <c r="F25" s="49" t="s">
        <v>6</v>
      </c>
      <c r="G25" s="49" t="s">
        <v>7</v>
      </c>
      <c r="H25" s="50" t="s">
        <v>8</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row>
    <row r="26" spans="1:101">
      <c r="A26" s="54" t="s">
        <v>26</v>
      </c>
      <c r="B26" s="55">
        <v>1</v>
      </c>
      <c r="C26" s="55">
        <v>1</v>
      </c>
      <c r="D26" s="55">
        <v>1</v>
      </c>
      <c r="E26" s="55">
        <v>1</v>
      </c>
      <c r="F26" s="55">
        <v>1</v>
      </c>
      <c r="G26" s="55">
        <v>1</v>
      </c>
      <c r="H26" s="202">
        <v>0</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row>
    <row r="27" spans="1:101" ht="23.5">
      <c r="A27" s="54" t="s">
        <v>27</v>
      </c>
      <c r="B27" s="38">
        <v>3</v>
      </c>
      <c r="C27" s="38">
        <v>3</v>
      </c>
      <c r="D27" s="38">
        <v>3</v>
      </c>
      <c r="E27" s="38">
        <v>4</v>
      </c>
      <c r="F27" s="38">
        <v>4</v>
      </c>
      <c r="G27" s="55">
        <v>6</v>
      </c>
      <c r="H27" s="203">
        <f>G27-F27</f>
        <v>2</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row>
    <row r="28" spans="1:101">
      <c r="A28" s="56" t="s">
        <v>28</v>
      </c>
      <c r="B28" s="38">
        <v>2</v>
      </c>
      <c r="C28" s="38">
        <v>2</v>
      </c>
      <c r="D28" s="38">
        <v>2</v>
      </c>
      <c r="E28" s="38">
        <v>3</v>
      </c>
      <c r="F28" s="38">
        <v>3</v>
      </c>
      <c r="G28" s="38">
        <v>5</v>
      </c>
      <c r="H28" s="204">
        <f>G28-F28</f>
        <v>2</v>
      </c>
    </row>
    <row r="29" spans="1:101">
      <c r="A29" s="56" t="s">
        <v>29</v>
      </c>
      <c r="B29" s="57">
        <v>1</v>
      </c>
      <c r="C29" s="57">
        <v>1</v>
      </c>
      <c r="D29" s="57">
        <v>1</v>
      </c>
      <c r="E29" s="57">
        <v>1</v>
      </c>
      <c r="F29" s="57">
        <v>1</v>
      </c>
      <c r="G29" s="57">
        <v>1</v>
      </c>
      <c r="H29" s="205">
        <v>0</v>
      </c>
    </row>
    <row r="30" spans="1:101" ht="23.5">
      <c r="A30" s="54" t="s">
        <v>30</v>
      </c>
      <c r="B30" s="349" t="s">
        <v>16</v>
      </c>
      <c r="C30" s="349" t="s">
        <v>16</v>
      </c>
      <c r="D30" s="349" t="s">
        <v>16</v>
      </c>
      <c r="E30" s="349" t="s">
        <v>16</v>
      </c>
      <c r="F30" s="38">
        <v>11</v>
      </c>
      <c r="G30" s="55">
        <v>23</v>
      </c>
      <c r="H30" s="203">
        <f>G30-F30</f>
        <v>12</v>
      </c>
      <c r="J30" s="207"/>
    </row>
  </sheetData>
  <pageMargins left="0.7" right="0.7" top="0.75" bottom="0.75" header="0.3" footer="0.3"/>
  <ignoredErrors>
    <ignoredError sqref="C4:G4 C12:G12 C25:G25 B17:C17" numberStoredAsText="1"/>
    <ignoredError sqref="B8:G8"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C5EB-4EE1-45BD-89B4-3497813AA008}">
  <dimension ref="A1:I35"/>
  <sheetViews>
    <sheetView showGridLines="0" zoomScale="120" zoomScaleNormal="120" workbookViewId="0">
      <selection activeCell="D6" sqref="D6"/>
    </sheetView>
  </sheetViews>
  <sheetFormatPr defaultColWidth="8.7265625" defaultRowHeight="14.75"/>
  <cols>
    <col min="1" max="1" width="72.7265625" style="1" customWidth="1"/>
    <col min="2" max="3" width="10.1328125" style="1" bestFit="1" customWidth="1"/>
    <col min="4" max="4" width="10.86328125" style="1" bestFit="1" customWidth="1"/>
    <col min="5" max="7" width="10.1328125" style="1" bestFit="1" customWidth="1"/>
    <col min="8" max="16384" width="8.7265625" style="1"/>
  </cols>
  <sheetData>
    <row r="1" spans="1:7" s="222" customFormat="1">
      <c r="A1" s="221" t="s">
        <v>180</v>
      </c>
    </row>
    <row r="3" spans="1:7">
      <c r="A3" s="59" t="s">
        <v>181</v>
      </c>
      <c r="B3" s="79"/>
      <c r="C3" s="79"/>
      <c r="D3" s="79"/>
      <c r="E3" s="79"/>
      <c r="F3" s="106"/>
      <c r="G3" s="79"/>
    </row>
    <row r="4" spans="1:7">
      <c r="A4" s="80" t="s">
        <v>2</v>
      </c>
      <c r="B4" s="19">
        <v>2023</v>
      </c>
      <c r="C4" s="19">
        <v>2024</v>
      </c>
      <c r="D4" s="321"/>
    </row>
    <row r="5" spans="1:7">
      <c r="A5" s="232" t="s">
        <v>182</v>
      </c>
      <c r="B5" s="422">
        <v>501</v>
      </c>
      <c r="C5" s="422">
        <v>639</v>
      </c>
      <c r="D5" s="321"/>
      <c r="E5" s="130"/>
    </row>
    <row r="6" spans="1:7" ht="29.5">
      <c r="A6" s="105" t="s">
        <v>183</v>
      </c>
      <c r="B6" s="265">
        <v>119</v>
      </c>
      <c r="C6" s="265">
        <v>158</v>
      </c>
      <c r="D6" s="321"/>
      <c r="E6" s="130"/>
    </row>
    <row r="7" spans="1:7">
      <c r="A7" s="159" t="s">
        <v>184</v>
      </c>
      <c r="B7" s="29">
        <v>0</v>
      </c>
      <c r="C7" s="29">
        <v>0</v>
      </c>
      <c r="D7" s="321"/>
      <c r="E7" s="130"/>
    </row>
    <row r="8" spans="1:7">
      <c r="A8" s="159" t="s">
        <v>185</v>
      </c>
      <c r="B8" s="29">
        <v>0</v>
      </c>
      <c r="C8" s="29">
        <v>0</v>
      </c>
      <c r="D8" s="321"/>
      <c r="E8" s="130"/>
    </row>
    <row r="9" spans="1:7">
      <c r="A9" s="159" t="s">
        <v>186</v>
      </c>
      <c r="B9" s="29">
        <v>0</v>
      </c>
      <c r="C9" s="29">
        <v>2</v>
      </c>
      <c r="D9" s="321"/>
      <c r="E9" s="130"/>
    </row>
    <row r="10" spans="1:7">
      <c r="A10" s="159" t="s">
        <v>187</v>
      </c>
      <c r="B10" s="29">
        <v>0</v>
      </c>
      <c r="C10" s="29">
        <v>119</v>
      </c>
      <c r="D10" s="321"/>
      <c r="E10" s="130"/>
    </row>
    <row r="11" spans="1:7">
      <c r="A11" s="105" t="s">
        <v>188</v>
      </c>
      <c r="B11" s="265">
        <v>46</v>
      </c>
      <c r="C11" s="265">
        <v>105</v>
      </c>
      <c r="D11" s="321"/>
      <c r="E11" s="130"/>
    </row>
    <row r="12" spans="1:7">
      <c r="A12" s="159" t="s">
        <v>189</v>
      </c>
      <c r="B12" s="29">
        <v>3</v>
      </c>
      <c r="C12" s="29">
        <v>4</v>
      </c>
      <c r="D12" s="321"/>
      <c r="E12" s="130"/>
    </row>
    <row r="13" spans="1:7">
      <c r="A13" s="159" t="s">
        <v>190</v>
      </c>
      <c r="B13" s="29">
        <v>38</v>
      </c>
      <c r="C13" s="29">
        <v>22</v>
      </c>
      <c r="D13" s="321"/>
      <c r="E13" s="130"/>
    </row>
    <row r="14" spans="1:7">
      <c r="A14" s="159" t="s">
        <v>191</v>
      </c>
      <c r="B14" s="29">
        <v>7</v>
      </c>
      <c r="C14" s="29">
        <v>45</v>
      </c>
      <c r="D14" s="321"/>
      <c r="E14" s="130"/>
    </row>
    <row r="15" spans="1:7">
      <c r="A15" s="105" t="s">
        <v>192</v>
      </c>
      <c r="B15" s="265">
        <v>207</v>
      </c>
      <c r="C15" s="265">
        <v>221</v>
      </c>
      <c r="D15" s="321"/>
      <c r="E15" s="130"/>
    </row>
    <row r="16" spans="1:7">
      <c r="A16" s="105" t="s">
        <v>193</v>
      </c>
      <c r="B16" s="265">
        <v>2</v>
      </c>
      <c r="C16" s="265">
        <v>9</v>
      </c>
      <c r="D16" s="321"/>
      <c r="E16" s="130"/>
    </row>
    <row r="17" spans="1:9" ht="44.25">
      <c r="A17" s="105" t="s">
        <v>194</v>
      </c>
      <c r="B17" s="265">
        <v>109</v>
      </c>
      <c r="C17" s="265">
        <v>108</v>
      </c>
      <c r="D17" s="321"/>
      <c r="E17" s="130"/>
    </row>
    <row r="18" spans="1:9">
      <c r="A18" s="105" t="s">
        <v>195</v>
      </c>
      <c r="B18" s="265">
        <v>4</v>
      </c>
      <c r="C18" s="265">
        <v>4</v>
      </c>
      <c r="D18" s="321"/>
      <c r="E18" s="130"/>
    </row>
    <row r="19" spans="1:9">
      <c r="A19" s="105" t="s">
        <v>196</v>
      </c>
      <c r="B19" s="265">
        <v>0</v>
      </c>
      <c r="C19" s="265">
        <v>0</v>
      </c>
      <c r="D19" s="321"/>
      <c r="E19" s="130"/>
    </row>
    <row r="20" spans="1:9">
      <c r="A20" s="105" t="s">
        <v>197</v>
      </c>
      <c r="B20" s="265">
        <v>1</v>
      </c>
      <c r="C20" s="265">
        <v>1</v>
      </c>
      <c r="D20" s="321"/>
      <c r="E20" s="130"/>
    </row>
    <row r="21" spans="1:9">
      <c r="A21" s="105" t="s">
        <v>198</v>
      </c>
      <c r="B21" s="265">
        <v>12</v>
      </c>
      <c r="C21" s="265">
        <v>32</v>
      </c>
      <c r="D21" s="321"/>
      <c r="E21" s="130"/>
    </row>
    <row r="22" spans="1:9" ht="29.5">
      <c r="A22" s="105" t="s">
        <v>199</v>
      </c>
      <c r="B22" s="265">
        <v>1</v>
      </c>
      <c r="C22" s="265">
        <v>1</v>
      </c>
      <c r="D22" s="321"/>
      <c r="E22" s="130"/>
    </row>
    <row r="23" spans="1:9">
      <c r="A23" s="220" t="s">
        <v>200</v>
      </c>
    </row>
    <row r="24" spans="1:9">
      <c r="A24" s="220" t="s">
        <v>201</v>
      </c>
    </row>
    <row r="26" spans="1:9">
      <c r="A26" s="59" t="s">
        <v>202</v>
      </c>
      <c r="I26" s="253"/>
    </row>
    <row r="27" spans="1:9" s="128" customFormat="1">
      <c r="A27" s="127" t="s">
        <v>2</v>
      </c>
      <c r="B27" s="145">
        <v>2019</v>
      </c>
      <c r="C27" s="145">
        <v>2020</v>
      </c>
      <c r="D27" s="145">
        <v>2021</v>
      </c>
      <c r="E27" s="145">
        <v>2022</v>
      </c>
      <c r="F27" s="145">
        <v>2023</v>
      </c>
      <c r="G27" s="145">
        <v>2024</v>
      </c>
      <c r="I27" s="154"/>
    </row>
    <row r="28" spans="1:9" s="128" customFormat="1" ht="29.5">
      <c r="A28" s="146" t="s">
        <v>203</v>
      </c>
      <c r="B28" s="283">
        <v>206000</v>
      </c>
      <c r="C28" s="283">
        <v>206000</v>
      </c>
      <c r="D28" s="283">
        <v>206000</v>
      </c>
      <c r="E28" s="283">
        <v>206000</v>
      </c>
      <c r="F28" s="283">
        <v>206000</v>
      </c>
      <c r="G28" s="283">
        <v>206000</v>
      </c>
      <c r="I28" s="254"/>
    </row>
    <row r="29" spans="1:9" s="128" customFormat="1">
      <c r="A29" s="146" t="s">
        <v>204</v>
      </c>
      <c r="B29" s="283">
        <v>23326</v>
      </c>
      <c r="C29" s="283">
        <v>22340</v>
      </c>
      <c r="D29" s="283">
        <v>26981</v>
      </c>
      <c r="E29" s="283">
        <v>71769</v>
      </c>
      <c r="F29" s="283">
        <v>69092</v>
      </c>
      <c r="G29" s="283">
        <v>50632</v>
      </c>
      <c r="H29" s="129"/>
    </row>
    <row r="30" spans="1:9" s="128" customFormat="1">
      <c r="A30" s="147" t="s">
        <v>205</v>
      </c>
      <c r="B30" s="266">
        <f t="shared" ref="B30:G30" si="0">B29/B28</f>
        <v>0.11323300970873787</v>
      </c>
      <c r="C30" s="266">
        <f t="shared" si="0"/>
        <v>0.10844660194174757</v>
      </c>
      <c r="D30" s="266">
        <f t="shared" si="0"/>
        <v>0.13097572815533981</v>
      </c>
      <c r="E30" s="266">
        <f t="shared" si="0"/>
        <v>0.34839320388349515</v>
      </c>
      <c r="F30" s="266">
        <f t="shared" si="0"/>
        <v>0.33539805825242719</v>
      </c>
      <c r="G30" s="266">
        <f t="shared" si="0"/>
        <v>0.24578640776699029</v>
      </c>
    </row>
    <row r="35" spans="8:8">
      <c r="H35" s="130"/>
    </row>
  </sheetData>
  <pageMargins left="0.7" right="0.7" top="0.75" bottom="0.75" header="0.3" footer="0.3"/>
  <pageSetup paperSize="9" scale="50" orientation="portrait" r:id="rId1"/>
  <colBreaks count="1" manualBreakCount="1">
    <brk id="15" min="2"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859D-6418-4400-AAC8-2D9C4EAEE7D0}">
  <dimension ref="A1:K23"/>
  <sheetViews>
    <sheetView showGridLines="0" zoomScale="90" zoomScaleNormal="90" workbookViewId="0">
      <selection activeCell="O19" sqref="O19"/>
    </sheetView>
  </sheetViews>
  <sheetFormatPr defaultColWidth="8.7265625" defaultRowHeight="14.75"/>
  <cols>
    <col min="1" max="1" width="57.26953125" style="1" bestFit="1" customWidth="1"/>
    <col min="2" max="2" width="10.40625" style="1" customWidth="1"/>
    <col min="3" max="10" width="10.54296875" style="1" customWidth="1"/>
    <col min="11" max="11" width="9.86328125" style="1" bestFit="1" customWidth="1"/>
    <col min="12" max="16384" width="8.7265625" style="1"/>
  </cols>
  <sheetData>
    <row r="1" spans="1:11" s="222" customFormat="1">
      <c r="A1" s="221" t="s">
        <v>206</v>
      </c>
    </row>
    <row r="3" spans="1:11">
      <c r="A3" s="59" t="s">
        <v>207</v>
      </c>
    </row>
    <row r="4" spans="1:11">
      <c r="A4" s="428" t="s">
        <v>2</v>
      </c>
      <c r="B4" s="310">
        <v>2023</v>
      </c>
      <c r="C4" s="310">
        <v>2024</v>
      </c>
      <c r="D4" s="310">
        <v>2023</v>
      </c>
      <c r="E4" s="310">
        <v>2024</v>
      </c>
      <c r="F4" s="310">
        <v>2023</v>
      </c>
      <c r="G4" s="310">
        <v>2024</v>
      </c>
      <c r="H4" s="310">
        <v>2023</v>
      </c>
      <c r="I4" s="310">
        <v>2024</v>
      </c>
      <c r="J4" s="310">
        <v>2023</v>
      </c>
      <c r="K4" s="310">
        <v>2024</v>
      </c>
    </row>
    <row r="5" spans="1:11" ht="15" customHeight="1">
      <c r="A5" s="429"/>
      <c r="B5" s="326" t="s">
        <v>208</v>
      </c>
      <c r="C5" s="326" t="s">
        <v>208</v>
      </c>
      <c r="D5" s="11" t="s">
        <v>209</v>
      </c>
      <c r="E5" s="11" t="s">
        <v>209</v>
      </c>
      <c r="F5" s="326" t="s">
        <v>210</v>
      </c>
      <c r="G5" s="326" t="s">
        <v>210</v>
      </c>
      <c r="H5" s="11" t="s">
        <v>211</v>
      </c>
      <c r="I5" s="11" t="s">
        <v>211</v>
      </c>
      <c r="J5" s="326" t="s">
        <v>212</v>
      </c>
      <c r="K5" s="326" t="s">
        <v>212</v>
      </c>
    </row>
    <row r="6" spans="1:11" ht="15" customHeight="1">
      <c r="A6" s="311" t="s">
        <v>213</v>
      </c>
      <c r="B6" s="327">
        <f>'[7]1_tinklas'!D2</f>
        <v>1924.3000000000002</v>
      </c>
      <c r="C6" s="327">
        <v>1924.3</v>
      </c>
      <c r="D6" s="328">
        <v>1441</v>
      </c>
      <c r="E6" s="328">
        <v>1441</v>
      </c>
      <c r="F6" s="329">
        <v>2217</v>
      </c>
      <c r="G6" s="329">
        <v>2217</v>
      </c>
      <c r="H6" s="328">
        <v>19394</v>
      </c>
      <c r="I6" s="330">
        <v>19662.810000000001</v>
      </c>
      <c r="J6" s="329">
        <v>5915</v>
      </c>
      <c r="K6" s="329">
        <v>5915</v>
      </c>
    </row>
    <row r="7" spans="1:11" ht="15" customHeight="1">
      <c r="A7" s="312" t="s">
        <v>214</v>
      </c>
      <c r="B7" s="331">
        <f>'[7]1_tinklas'!D5</f>
        <v>152.4</v>
      </c>
      <c r="C7" s="332">
        <v>152</v>
      </c>
      <c r="D7" s="333">
        <v>225</v>
      </c>
      <c r="E7" s="333">
        <v>225</v>
      </c>
      <c r="F7" s="331">
        <v>251</v>
      </c>
      <c r="G7" s="331">
        <v>251</v>
      </c>
      <c r="H7" s="328">
        <v>12174</v>
      </c>
      <c r="I7" s="330">
        <v>12085.08</v>
      </c>
      <c r="J7" s="329">
        <v>3424</v>
      </c>
      <c r="K7" s="329">
        <v>3635</v>
      </c>
    </row>
    <row r="8" spans="1:11" ht="15" customHeight="1">
      <c r="A8" s="312" t="s">
        <v>215</v>
      </c>
      <c r="B8" s="334">
        <f>B7/B6</f>
        <v>7.9197630307124664E-2</v>
      </c>
      <c r="C8" s="334">
        <f>C7/C6</f>
        <v>7.8989762511042977E-2</v>
      </c>
      <c r="D8" s="335">
        <f t="shared" ref="D8:K8" si="0">D7/D6</f>
        <v>0.15614156835530882</v>
      </c>
      <c r="E8" s="335">
        <f t="shared" si="0"/>
        <v>0.15614156835530882</v>
      </c>
      <c r="F8" s="334">
        <f t="shared" si="0"/>
        <v>0.11321605773567885</v>
      </c>
      <c r="G8" s="334">
        <f t="shared" si="0"/>
        <v>0.11321605773567885</v>
      </c>
      <c r="H8" s="335">
        <f t="shared" si="0"/>
        <v>0.62771991337527067</v>
      </c>
      <c r="I8" s="335">
        <f t="shared" si="0"/>
        <v>0.61461612048328795</v>
      </c>
      <c r="J8" s="334">
        <f t="shared" si="0"/>
        <v>0.5788672865595943</v>
      </c>
      <c r="K8" s="334">
        <f t="shared" si="0"/>
        <v>0.6145393068469992</v>
      </c>
    </row>
    <row r="9" spans="1:11" ht="15" customHeight="1">
      <c r="A9" s="313" t="s">
        <v>216</v>
      </c>
      <c r="B9" s="336">
        <f>B6/B20</f>
        <v>2.9468606431852989E-2</v>
      </c>
      <c r="C9" s="336">
        <f>C6/C20</f>
        <v>2.9475828686967711E-2</v>
      </c>
      <c r="D9" s="337">
        <f>D6/D20</f>
        <v>3.1782791856900243E-2</v>
      </c>
      <c r="E9" s="337">
        <f>E6/E20</f>
        <v>3.1784895006176109E-2</v>
      </c>
      <c r="F9" s="336">
        <f t="shared" ref="F9:K9" si="1">F6/F20</f>
        <v>3.4340680617729519E-2</v>
      </c>
      <c r="G9" s="336">
        <f t="shared" si="1"/>
        <v>3.4322073257578106E-2</v>
      </c>
      <c r="H9" s="337">
        <f t="shared" si="1"/>
        <v>6.2174604395886228E-2</v>
      </c>
      <c r="I9" s="337">
        <f t="shared" si="1"/>
        <v>6.3036373778564289E-2</v>
      </c>
      <c r="J9" s="336">
        <f t="shared" si="1"/>
        <v>1.7478746258248107E-2</v>
      </c>
      <c r="K9" s="336">
        <f t="shared" si="1"/>
        <v>1.7481225784143066E-2</v>
      </c>
    </row>
    <row r="10" spans="1:11" ht="15" customHeight="1">
      <c r="A10" s="314" t="s">
        <v>217</v>
      </c>
      <c r="B10" s="331">
        <v>1</v>
      </c>
      <c r="C10" s="331">
        <v>1</v>
      </c>
      <c r="D10" s="333">
        <v>2</v>
      </c>
      <c r="E10" s="333">
        <v>1</v>
      </c>
      <c r="F10" s="331">
        <v>4</v>
      </c>
      <c r="G10" s="331">
        <v>3</v>
      </c>
      <c r="H10" s="333">
        <v>22</v>
      </c>
      <c r="I10" s="333">
        <v>24</v>
      </c>
      <c r="J10" s="331">
        <v>1</v>
      </c>
      <c r="K10" s="331">
        <v>1</v>
      </c>
    </row>
    <row r="11" spans="1:11" ht="15" customHeight="1">
      <c r="A11" s="314" t="s">
        <v>218</v>
      </c>
      <c r="B11" s="331">
        <v>3</v>
      </c>
      <c r="C11" s="331">
        <v>5</v>
      </c>
      <c r="D11" s="333">
        <v>13</v>
      </c>
      <c r="E11" s="333">
        <v>11</v>
      </c>
      <c r="F11" s="331">
        <v>4</v>
      </c>
      <c r="G11" s="331">
        <v>4</v>
      </c>
      <c r="H11" s="333">
        <v>105</v>
      </c>
      <c r="I11" s="333">
        <v>117</v>
      </c>
      <c r="J11" s="331">
        <v>5</v>
      </c>
      <c r="K11" s="331">
        <v>5</v>
      </c>
    </row>
    <row r="12" spans="1:11" ht="15" customHeight="1">
      <c r="A12" s="311" t="s">
        <v>219</v>
      </c>
      <c r="B12" s="338">
        <f>('[7]2_rinka_duomenys'!G132-'[7]2_rinka_duomenys'!G135)/1000000</f>
        <v>4.7192489999999996</v>
      </c>
      <c r="C12" s="338">
        <v>5.53</v>
      </c>
      <c r="D12" s="339">
        <f>7830000/1000000</f>
        <v>7.83</v>
      </c>
      <c r="E12" s="349" t="s">
        <v>16</v>
      </c>
      <c r="F12" s="338">
        <v>17.100000000000001</v>
      </c>
      <c r="G12" s="338">
        <v>19.5</v>
      </c>
      <c r="H12" s="339">
        <v>374.4</v>
      </c>
      <c r="I12" s="339">
        <f>407533333/1000000</f>
        <v>407.53333300000003</v>
      </c>
      <c r="J12" s="338">
        <f>82406000/1000000</f>
        <v>82.406000000000006</v>
      </c>
      <c r="K12" s="338">
        <f>84570000/1000000</f>
        <v>84.57</v>
      </c>
    </row>
    <row r="13" spans="1:11" ht="15" customHeight="1">
      <c r="A13" s="315" t="s">
        <v>220</v>
      </c>
      <c r="B13" s="338">
        <f>B12/B21</f>
        <v>1.6675791519434626</v>
      </c>
      <c r="C13" s="338">
        <f>C12/C21</f>
        <v>1.9162192889475036</v>
      </c>
      <c r="D13" s="339">
        <f>D12/D21</f>
        <v>5.8042994810971091</v>
      </c>
      <c r="E13" s="349" t="s">
        <v>16</v>
      </c>
      <c r="F13" s="338">
        <f t="shared" ref="F13:K13" si="2">F12/F21</f>
        <v>9.1005854177754131</v>
      </c>
      <c r="G13" s="338">
        <f t="shared" si="2"/>
        <v>10.417323314183266</v>
      </c>
      <c r="H13" s="339">
        <f t="shared" si="2"/>
        <v>10.186719521520205</v>
      </c>
      <c r="I13" s="339">
        <f t="shared" si="2"/>
        <v>11.128414484924894</v>
      </c>
      <c r="J13" s="338">
        <f t="shared" si="2"/>
        <v>14.821223021582735</v>
      </c>
      <c r="K13" s="338">
        <f t="shared" si="2"/>
        <v>15.091407676613814</v>
      </c>
    </row>
    <row r="14" spans="1:11" ht="15" customHeight="1">
      <c r="A14" s="314" t="s">
        <v>221</v>
      </c>
      <c r="B14" s="338">
        <f>'[7]2_rinka_duomenys'!G72/1000000</f>
        <v>6.8213730000000004</v>
      </c>
      <c r="C14" s="338">
        <v>7.71</v>
      </c>
      <c r="D14" s="349" t="s">
        <v>16</v>
      </c>
      <c r="E14" s="349" t="s">
        <v>16</v>
      </c>
      <c r="F14" s="338">
        <f>6508155/1000000</f>
        <v>6.5081550000000004</v>
      </c>
      <c r="G14" s="338" t="s">
        <v>16</v>
      </c>
      <c r="H14" s="339">
        <v>191.3</v>
      </c>
      <c r="I14" s="339">
        <f>205565041.94/1000000</f>
        <v>205.56504193999999</v>
      </c>
      <c r="J14" s="338">
        <f>34864000/1000000</f>
        <v>34.863999999999997</v>
      </c>
      <c r="K14" s="338">
        <f>35852000/1000000</f>
        <v>35.851999999999997</v>
      </c>
    </row>
    <row r="15" spans="1:11" ht="15" customHeight="1">
      <c r="A15" s="311" t="s">
        <v>222</v>
      </c>
      <c r="B15" s="340">
        <f>'[7]2_rinka_duomenys'!G111/1000000</f>
        <v>464.11397799999997</v>
      </c>
      <c r="C15" s="340">
        <v>539.73</v>
      </c>
      <c r="D15" s="339">
        <f>408098/1000</f>
        <v>408.09800000000001</v>
      </c>
      <c r="E15" s="349" t="s">
        <v>16</v>
      </c>
      <c r="F15" s="329">
        <v>612.54</v>
      </c>
      <c r="G15" s="338" t="s">
        <v>16</v>
      </c>
      <c r="H15" s="341">
        <v>25900</v>
      </c>
      <c r="I15" s="341">
        <f>28485046639.42/1000000</f>
        <v>28485.046639419998</v>
      </c>
      <c r="J15" s="340">
        <f>5199000000/1000000</f>
        <v>5199</v>
      </c>
      <c r="K15" s="340">
        <f>5435000000/1000000</f>
        <v>5435</v>
      </c>
    </row>
    <row r="16" spans="1:11" ht="15" customHeight="1">
      <c r="A16" s="311" t="s">
        <v>223</v>
      </c>
      <c r="B16" s="338">
        <f>'[7]2_rinka_duomenys'!G130/1000000</f>
        <v>27.2242</v>
      </c>
      <c r="C16" s="338">
        <v>25.66</v>
      </c>
      <c r="D16" s="339">
        <f>10103.6/1000</f>
        <v>10.1036</v>
      </c>
      <c r="E16" s="349" t="s">
        <v>16</v>
      </c>
      <c r="F16" s="338">
        <v>15.446</v>
      </c>
      <c r="G16" s="338" t="s">
        <v>16</v>
      </c>
      <c r="H16" s="339">
        <v>231.7</v>
      </c>
      <c r="I16" s="339">
        <f>223483607.89/1000000</f>
        <v>223.48360788999997</v>
      </c>
      <c r="J16" s="338">
        <f>27065000/1000000</f>
        <v>27.065000000000001</v>
      </c>
      <c r="K16" s="338">
        <f>27000000/1000000</f>
        <v>27</v>
      </c>
    </row>
    <row r="17" spans="1:11" ht="29.25" customHeight="1">
      <c r="A17" s="316" t="s">
        <v>224</v>
      </c>
      <c r="B17" s="338">
        <f>B16/B22</f>
        <v>0.38360152176976187</v>
      </c>
      <c r="C17" s="338">
        <f>C16/C22</f>
        <v>0.32159467879528419</v>
      </c>
      <c r="D17" s="339">
        <f>D16/D22</f>
        <v>0.25840409207161125</v>
      </c>
      <c r="E17" s="349" t="s">
        <v>16</v>
      </c>
      <c r="F17" s="338">
        <f>F16/F22</f>
        <v>0.37737600781822622</v>
      </c>
      <c r="G17" s="338" t="s">
        <v>16</v>
      </c>
      <c r="H17" s="339">
        <f>H16/H22</f>
        <v>0.33672431332655134</v>
      </c>
      <c r="I17" s="339">
        <f>I16/I22</f>
        <v>0.27617845760009879</v>
      </c>
      <c r="J17" s="338">
        <f>J16/J22</f>
        <v>9.5669848002827865E-2</v>
      </c>
      <c r="K17" s="338">
        <f>K16/K22</f>
        <v>9.1540628782407915E-2</v>
      </c>
    </row>
    <row r="18" spans="1:11" ht="15" customHeight="1">
      <c r="A18" s="314" t="s">
        <v>225</v>
      </c>
      <c r="B18" s="342">
        <f>'[7]2_rinka_duomenys'!G76/1000000</f>
        <v>4.8839519999999998</v>
      </c>
      <c r="C18" s="342">
        <v>4.76</v>
      </c>
      <c r="D18" s="349" t="s">
        <v>16</v>
      </c>
      <c r="E18" s="349" t="s">
        <v>16</v>
      </c>
      <c r="F18" s="342">
        <f>2895.8/1000</f>
        <v>2.8958000000000004</v>
      </c>
      <c r="G18" s="338" t="s">
        <v>16</v>
      </c>
      <c r="H18" s="343">
        <v>84.4</v>
      </c>
      <c r="I18" s="343">
        <f>82264824.56/1000000</f>
        <v>82.264824560000008</v>
      </c>
      <c r="J18" s="342">
        <f>12534000/1000000</f>
        <v>12.534000000000001</v>
      </c>
      <c r="K18" s="338">
        <f>12711000/1000000</f>
        <v>12.711</v>
      </c>
    </row>
    <row r="19" spans="1:11" ht="15" customHeight="1">
      <c r="A19" s="311" t="s">
        <v>226</v>
      </c>
      <c r="B19" s="340">
        <f>'[7]2_rinka_duomenys'!G100/1000000</f>
        <v>6395.3998570000003</v>
      </c>
      <c r="C19" s="340">
        <v>6241.01</v>
      </c>
      <c r="D19" s="339">
        <f>771281.9/1000</f>
        <v>771.28190000000006</v>
      </c>
      <c r="E19" s="349" t="s">
        <v>16</v>
      </c>
      <c r="F19" s="338">
        <v>5191</v>
      </c>
      <c r="G19" s="338" t="s">
        <v>16</v>
      </c>
      <c r="H19" s="328">
        <v>61601.04</v>
      </c>
      <c r="I19" s="341">
        <f>58263940516.55/1000000</f>
        <v>58263.940516550007</v>
      </c>
      <c r="J19" s="340">
        <f>8100000000/1000000</f>
        <v>8100</v>
      </c>
      <c r="K19" s="340">
        <f>8200000000/1000000</f>
        <v>8200</v>
      </c>
    </row>
    <row r="20" spans="1:11" ht="15" customHeight="1">
      <c r="A20" s="317" t="s">
        <v>227</v>
      </c>
      <c r="B20" s="329">
        <v>65300</v>
      </c>
      <c r="C20" s="329">
        <v>65284</v>
      </c>
      <c r="D20" s="328">
        <v>45339</v>
      </c>
      <c r="E20" s="328">
        <v>45336</v>
      </c>
      <c r="F20" s="329">
        <v>64559</v>
      </c>
      <c r="G20" s="329">
        <v>64594</v>
      </c>
      <c r="H20" s="328">
        <v>311928</v>
      </c>
      <c r="I20" s="328">
        <v>311928</v>
      </c>
      <c r="J20" s="329">
        <v>338411</v>
      </c>
      <c r="K20" s="329">
        <v>338363</v>
      </c>
    </row>
    <row r="21" spans="1:11" ht="15" customHeight="1">
      <c r="A21" s="317" t="s">
        <v>228</v>
      </c>
      <c r="B21" s="329">
        <v>2.83</v>
      </c>
      <c r="C21" s="344">
        <f>2885891/1000000</f>
        <v>2.885891</v>
      </c>
      <c r="D21" s="339">
        <v>1.349</v>
      </c>
      <c r="E21" s="339">
        <f>1374687/1000000</f>
        <v>1.374687</v>
      </c>
      <c r="F21" s="338">
        <v>1.879</v>
      </c>
      <c r="G21" s="338">
        <f>1871882/1000000</f>
        <v>1.871882</v>
      </c>
      <c r="H21" s="343">
        <f>36753736/1000000</f>
        <v>36.753736000000004</v>
      </c>
      <c r="I21" s="343">
        <f>36620970/1000000</f>
        <v>36.62097</v>
      </c>
      <c r="J21" s="329">
        <v>5.56</v>
      </c>
      <c r="K21" s="338">
        <f>5603851/1000000</f>
        <v>5.6038509999999997</v>
      </c>
    </row>
    <row r="22" spans="1:11" ht="15" customHeight="1">
      <c r="A22" s="317" t="s">
        <v>229</v>
      </c>
      <c r="B22" s="340">
        <v>70.97</v>
      </c>
      <c r="C22" s="340">
        <f>79789877.42/1000000</f>
        <v>79.789877419999996</v>
      </c>
      <c r="D22" s="341">
        <v>39.1</v>
      </c>
      <c r="E22" s="341">
        <f>41291.25/1000</f>
        <v>41.291249999999998</v>
      </c>
      <c r="F22" s="340">
        <v>40.93</v>
      </c>
      <c r="G22" s="340">
        <f>42247850.06/1000000</f>
        <v>42.247850060000005</v>
      </c>
      <c r="H22" s="341">
        <v>688.1</v>
      </c>
      <c r="I22" s="341">
        <v>809.2</v>
      </c>
      <c r="J22" s="340">
        <v>282.89999999999998</v>
      </c>
      <c r="K22" s="340">
        <f>294951/1000</f>
        <v>294.95100000000002</v>
      </c>
    </row>
    <row r="23" spans="1:11">
      <c r="C23" s="81"/>
    </row>
  </sheetData>
  <mergeCells count="1">
    <mergeCell ref="A4: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27F-02C8-4012-9005-5E21C12FD8A3}">
  <dimension ref="A1:Q38"/>
  <sheetViews>
    <sheetView showGridLines="0" topLeftCell="A7" zoomScale="90" zoomScaleNormal="90" workbookViewId="0">
      <selection activeCell="C23" sqref="C23"/>
    </sheetView>
  </sheetViews>
  <sheetFormatPr defaultColWidth="8.7265625" defaultRowHeight="14.75"/>
  <cols>
    <col min="1" max="1" width="47.40625" style="1" customWidth="1"/>
    <col min="2" max="5" width="14.1328125" style="1" bestFit="1" customWidth="1"/>
    <col min="6" max="6" width="16.40625" style="1" bestFit="1" customWidth="1"/>
    <col min="7" max="7" width="14" style="1" bestFit="1" customWidth="1"/>
    <col min="8" max="8" width="16.54296875" style="1" customWidth="1"/>
    <col min="9" max="10" width="9" style="1" bestFit="1" customWidth="1"/>
    <col min="11" max="11" width="14.86328125" style="1" bestFit="1" customWidth="1"/>
    <col min="12" max="12" width="28.54296875" style="1" bestFit="1" customWidth="1"/>
    <col min="13" max="13" width="21.86328125" style="1" bestFit="1" customWidth="1"/>
    <col min="14" max="16" width="13.86328125" style="1" bestFit="1" customWidth="1"/>
    <col min="17" max="17" width="15.1328125" style="6" bestFit="1" customWidth="1"/>
    <col min="18" max="18" width="10.1328125" style="1" bestFit="1" customWidth="1"/>
    <col min="19" max="20" width="9.1328125" style="1"/>
    <col min="21" max="21" width="15.26953125" style="1" customWidth="1"/>
    <col min="22" max="22" width="16.1328125" style="1" customWidth="1"/>
    <col min="23" max="23" width="16.1328125" style="1" bestFit="1" customWidth="1"/>
    <col min="24" max="16384" width="8.7265625" style="1"/>
  </cols>
  <sheetData>
    <row r="1" spans="1:17" s="222" customFormat="1">
      <c r="A1" s="221" t="s">
        <v>31</v>
      </c>
      <c r="Q1" s="223"/>
    </row>
    <row r="3" spans="1:17">
      <c r="A3" s="59" t="s">
        <v>32</v>
      </c>
      <c r="B3" s="60"/>
      <c r="C3" s="60"/>
      <c r="D3" s="60"/>
      <c r="E3" s="60"/>
      <c r="F3" s="60"/>
      <c r="G3" s="60"/>
      <c r="I3" s="90"/>
    </row>
    <row r="4" spans="1:17" ht="29.5">
      <c r="A4" s="18" t="s">
        <v>2</v>
      </c>
      <c r="B4" s="11">
        <f>'[3]2_rinka_duomenys'!C2</f>
        <v>2019</v>
      </c>
      <c r="C4" s="11">
        <f>'[3]2_rinka_duomenys'!D2</f>
        <v>2020</v>
      </c>
      <c r="D4" s="11">
        <f>'[3]2_rinka_duomenys'!E2</f>
        <v>2021</v>
      </c>
      <c r="E4" s="11">
        <f>'[3]2_rinka_duomenys'!F2</f>
        <v>2022</v>
      </c>
      <c r="F4" s="11">
        <f>'[3]2_rinka_duomenys'!G2</f>
        <v>2023</v>
      </c>
      <c r="G4" s="12">
        <v>2024</v>
      </c>
      <c r="H4" s="17" t="s">
        <v>8</v>
      </c>
      <c r="I4" s="14"/>
    </row>
    <row r="5" spans="1:17">
      <c r="A5" s="350" t="s">
        <v>33</v>
      </c>
      <c r="B5" s="351">
        <v>32.85</v>
      </c>
      <c r="C5" s="351">
        <v>31.22</v>
      </c>
      <c r="D5" s="351">
        <v>28.98</v>
      </c>
      <c r="E5" s="351">
        <v>15.81</v>
      </c>
      <c r="F5" s="351">
        <v>13.81</v>
      </c>
      <c r="G5" s="352">
        <f>G6+G9</f>
        <v>13.640836551051001</v>
      </c>
      <c r="H5" s="353">
        <f>((G5/F5*100)-100)/100</f>
        <v>-1.2249344601665513E-2</v>
      </c>
      <c r="I5" s="290"/>
      <c r="J5" s="90"/>
    </row>
    <row r="6" spans="1:17">
      <c r="A6" s="354" t="s">
        <v>34</v>
      </c>
      <c r="B6" s="217">
        <f>'[3]2_rinka_duomenys'!C27/1000000000</f>
        <v>1.450194</v>
      </c>
      <c r="C6" s="217">
        <f>'[3]2_rinka_duomenys'!D27/1000000000</f>
        <v>1.0883050000000001</v>
      </c>
      <c r="D6" s="217">
        <f>'[3]2_rinka_duomenys'!E27/1000000000</f>
        <v>1.160783269</v>
      </c>
      <c r="E6" s="217">
        <f>'[3]2_rinka_duomenys'!F27/1000000000</f>
        <v>1.1420838879999999</v>
      </c>
      <c r="F6" s="217">
        <f>'[3]2_rinka_duomenys'!G27/1000000000</f>
        <v>1.129656489</v>
      </c>
      <c r="G6" s="218">
        <v>1.35657902176</v>
      </c>
      <c r="H6" s="219">
        <f>((G6/F6*100)-100)/100</f>
        <v>0.20087746582226715</v>
      </c>
      <c r="I6" s="290"/>
      <c r="J6" s="90"/>
    </row>
    <row r="7" spans="1:17">
      <c r="A7" s="355" t="s">
        <v>35</v>
      </c>
      <c r="B7" s="16">
        <v>1.008783</v>
      </c>
      <c r="C7" s="16">
        <v>0.91575300000000004</v>
      </c>
      <c r="D7" s="16">
        <v>0.93453226899999997</v>
      </c>
      <c r="E7" s="16">
        <v>0.92164188800000002</v>
      </c>
      <c r="F7" s="16">
        <v>0.88136790799999998</v>
      </c>
      <c r="G7" s="198">
        <v>0.98776522700000002</v>
      </c>
      <c r="H7" s="20">
        <v>0.12071839470696957</v>
      </c>
      <c r="I7" s="290"/>
      <c r="J7" s="90"/>
    </row>
    <row r="8" spans="1:17">
      <c r="A8" s="355" t="s">
        <v>36</v>
      </c>
      <c r="B8" s="16">
        <v>0.441411</v>
      </c>
      <c r="C8" s="16">
        <v>0.17255200000000001</v>
      </c>
      <c r="D8" s="16">
        <v>0.22625100000000001</v>
      </c>
      <c r="E8" s="16">
        <v>0.220442</v>
      </c>
      <c r="F8" s="16">
        <v>0.24828858100000001</v>
      </c>
      <c r="G8" s="198">
        <v>0.368813795</v>
      </c>
      <c r="H8" s="20">
        <v>0.48542391081609987</v>
      </c>
      <c r="I8" s="290"/>
      <c r="J8" s="90"/>
    </row>
    <row r="9" spans="1:17">
      <c r="A9" s="354" t="s">
        <v>37</v>
      </c>
      <c r="B9" s="217">
        <f>'[3]2_rinka_duomenys'!C31/1000000000</f>
        <v>31.398111216290001</v>
      </c>
      <c r="C9" s="217">
        <f>'[3]2_rinka_duomenys'!D31/1000000000</f>
        <v>30.127885448000001</v>
      </c>
      <c r="D9" s="217">
        <f>'[3]2_rinka_duomenys'!E31/1000000000</f>
        <v>27.814599998999999</v>
      </c>
      <c r="E9" s="217">
        <f>'[3]2_rinka_duomenys'!F31/1000000000</f>
        <v>14.672341393</v>
      </c>
      <c r="F9" s="217">
        <f>'[3]2_rinka_duomenys'!G31/1000000000</f>
        <v>12.682449839669999</v>
      </c>
      <c r="G9" s="218">
        <v>12.284257529291001</v>
      </c>
      <c r="H9" s="219">
        <f t="shared" ref="H9" si="0">((G9/F9*100)-100)/100</f>
        <v>-3.1397112972091176E-2</v>
      </c>
      <c r="I9" s="290"/>
      <c r="J9" s="90"/>
    </row>
    <row r="10" spans="1:17">
      <c r="A10" s="355" t="s">
        <v>35</v>
      </c>
      <c r="B10" s="349" t="s">
        <v>16</v>
      </c>
      <c r="C10" s="16">
        <v>7.3387587411279602</v>
      </c>
      <c r="D10" s="16">
        <v>6.9356606624243398</v>
      </c>
      <c r="E10" s="16">
        <v>6.8724239025881699</v>
      </c>
      <c r="F10" s="16">
        <v>7.8045726606699999</v>
      </c>
      <c r="G10" s="198">
        <v>8.2375294622999995</v>
      </c>
      <c r="H10" s="20">
        <v>5.5474760817055616E-2</v>
      </c>
      <c r="I10" s="290"/>
      <c r="J10" s="90"/>
    </row>
    <row r="11" spans="1:17">
      <c r="A11" s="355" t="s">
        <v>36</v>
      </c>
      <c r="B11" s="349" t="s">
        <v>16</v>
      </c>
      <c r="C11" s="16">
        <v>22.789126706872</v>
      </c>
      <c r="D11" s="16">
        <v>20.851951153575701</v>
      </c>
      <c r="E11" s="16">
        <v>7.79991749041183</v>
      </c>
      <c r="F11" s="16">
        <v>4.8778771790000004</v>
      </c>
      <c r="G11" s="198">
        <v>4.0466620579999999</v>
      </c>
      <c r="H11" s="20">
        <v>-0.1704050943673833</v>
      </c>
      <c r="I11" s="290"/>
      <c r="J11" s="90"/>
    </row>
    <row r="12" spans="1:17">
      <c r="A12" s="220" t="s">
        <v>38</v>
      </c>
      <c r="B12" s="215"/>
      <c r="C12" s="215"/>
      <c r="D12" s="215"/>
      <c r="E12" s="215"/>
      <c r="F12" s="215"/>
      <c r="G12" s="216"/>
      <c r="H12" s="86"/>
      <c r="I12" s="290"/>
      <c r="J12" s="90"/>
    </row>
    <row r="13" spans="1:17">
      <c r="I13" s="290"/>
    </row>
    <row r="14" spans="1:17">
      <c r="A14" s="84" t="s">
        <v>39</v>
      </c>
      <c r="B14" s="61"/>
      <c r="C14" s="61"/>
      <c r="D14" s="61"/>
      <c r="E14" s="61"/>
      <c r="F14" s="61"/>
      <c r="G14" s="62"/>
      <c r="H14" s="63"/>
      <c r="I14" s="290"/>
    </row>
    <row r="15" spans="1:17" ht="29.5">
      <c r="A15" s="72" t="s">
        <v>2</v>
      </c>
      <c r="B15" s="64" t="s">
        <v>40</v>
      </c>
      <c r="C15" s="64">
        <v>2020</v>
      </c>
      <c r="D15" s="64">
        <v>2021</v>
      </c>
      <c r="E15" s="64">
        <v>2022</v>
      </c>
      <c r="F15" s="64">
        <v>2023</v>
      </c>
      <c r="G15" s="65">
        <v>2024</v>
      </c>
      <c r="H15" s="66" t="s">
        <v>8</v>
      </c>
      <c r="I15" s="290"/>
      <c r="J15" s="90"/>
    </row>
    <row r="16" spans="1:17">
      <c r="A16" s="350" t="s">
        <v>33</v>
      </c>
      <c r="B16" s="351">
        <v>32.85</v>
      </c>
      <c r="C16" s="351">
        <f>C17+C18</f>
        <v>31.211678706872039</v>
      </c>
      <c r="D16" s="351">
        <v>28.95</v>
      </c>
      <c r="E16" s="351">
        <v>15.81</v>
      </c>
      <c r="F16" s="351">
        <v>13.81</v>
      </c>
      <c r="G16" s="352">
        <f>G17+G18</f>
        <v>13.64</v>
      </c>
      <c r="H16" s="353">
        <f>((G16/F16*100)-100)/100</f>
        <v>-1.2309920347574206E-2</v>
      </c>
      <c r="I16" s="290"/>
      <c r="J16" s="90"/>
    </row>
    <row r="17" spans="1:10">
      <c r="A17" s="356" t="s">
        <v>41</v>
      </c>
      <c r="B17" s="349" t="s">
        <v>16</v>
      </c>
      <c r="C17" s="67">
        <v>8.25</v>
      </c>
      <c r="D17" s="67">
        <v>7.87</v>
      </c>
      <c r="E17" s="67">
        <v>7.79</v>
      </c>
      <c r="F17" s="67">
        <f>'[3]2_rinka_duomenys'!G45/1000000000</f>
        <v>8.6859405686700004</v>
      </c>
      <c r="G17" s="68">
        <v>9.2200000000000006</v>
      </c>
      <c r="H17" s="74">
        <f>((G17/F17*100)-100)/100</f>
        <v>6.1485503741107977E-2</v>
      </c>
      <c r="I17" s="290"/>
      <c r="J17" s="90"/>
    </row>
    <row r="18" spans="1:10">
      <c r="A18" s="356" t="s">
        <v>42</v>
      </c>
      <c r="B18" s="349" t="s">
        <v>16</v>
      </c>
      <c r="C18" s="73">
        <f>'[3]2_rinka_duomenys'!D46/1000000000</f>
        <v>22.961678706872039</v>
      </c>
      <c r="D18" s="73">
        <f>'[3]2_rinka_duomenys'!E46/1000000000</f>
        <v>21.078202153575663</v>
      </c>
      <c r="E18" s="73">
        <f>'[3]2_rinka_duomenys'!F46/1000000000</f>
        <v>8.0203594904118258</v>
      </c>
      <c r="F18" s="73">
        <f>'[3]2_rinka_duomenys'!G46/1000000000</f>
        <v>5.1261657600000001</v>
      </c>
      <c r="G18" s="68">
        <v>4.42</v>
      </c>
      <c r="H18" s="74">
        <f>((G18/F18*100)-100)/100</f>
        <v>-0.13775710600509342</v>
      </c>
      <c r="I18" s="290"/>
      <c r="J18" s="90"/>
    </row>
    <row r="19" spans="1:10">
      <c r="A19" s="220" t="s">
        <v>43</v>
      </c>
    </row>
    <row r="20" spans="1:10">
      <c r="A20" s="220"/>
    </row>
    <row r="21" spans="1:10">
      <c r="A21" s="84" t="s">
        <v>44</v>
      </c>
      <c r="H21" s="94"/>
    </row>
    <row r="22" spans="1:10" ht="29.5">
      <c r="A22" s="18" t="s">
        <v>45</v>
      </c>
      <c r="B22" s="19">
        <v>2023</v>
      </c>
      <c r="C22" s="19">
        <v>2024</v>
      </c>
      <c r="D22" s="66" t="s">
        <v>8</v>
      </c>
      <c r="F22" s="90"/>
    </row>
    <row r="23" spans="1:10">
      <c r="A23" s="93" t="s">
        <v>46</v>
      </c>
      <c r="B23" s="83">
        <v>0.90339999999999998</v>
      </c>
      <c r="C23" s="20">
        <v>0.85519999999999996</v>
      </c>
      <c r="D23" s="22">
        <f t="shared" ref="D23:D28" si="1">C23-B23</f>
        <v>-4.8200000000000021E-2</v>
      </c>
      <c r="E23" s="130"/>
    </row>
    <row r="24" spans="1:10">
      <c r="A24" s="93" t="s">
        <v>47</v>
      </c>
      <c r="B24" s="20">
        <v>8.1799999999999998E-2</v>
      </c>
      <c r="C24" s="20">
        <v>9.9500000000000005E-2</v>
      </c>
      <c r="D24" s="22">
        <f t="shared" si="1"/>
        <v>1.7700000000000007E-2</v>
      </c>
      <c r="E24" s="130"/>
    </row>
    <row r="25" spans="1:10">
      <c r="A25" s="93" t="s">
        <v>48</v>
      </c>
      <c r="B25" s="83">
        <v>1.35E-2</v>
      </c>
      <c r="C25" s="20">
        <v>3.4099999999999998E-2</v>
      </c>
      <c r="D25" s="22">
        <f t="shared" si="1"/>
        <v>2.06E-2</v>
      </c>
      <c r="E25" s="130"/>
    </row>
    <row r="26" spans="1:10">
      <c r="A26" s="93" t="s">
        <v>49</v>
      </c>
      <c r="B26" s="83">
        <v>1.2999999999999999E-3</v>
      </c>
      <c r="C26" s="20">
        <v>1.5E-3</v>
      </c>
      <c r="D26" s="22">
        <f t="shared" si="1"/>
        <v>2.0000000000000009E-4</v>
      </c>
      <c r="E26" s="130"/>
    </row>
    <row r="27" spans="1:10">
      <c r="A27" s="93" t="s">
        <v>50</v>
      </c>
      <c r="B27" s="83">
        <v>0</v>
      </c>
      <c r="C27" s="20">
        <v>8.6999999999999994E-3</v>
      </c>
      <c r="D27" s="22">
        <f t="shared" si="1"/>
        <v>8.6999999999999994E-3</v>
      </c>
      <c r="E27" s="130"/>
    </row>
    <row r="28" spans="1:10">
      <c r="A28" s="93" t="s">
        <v>51</v>
      </c>
      <c r="B28" s="83">
        <v>0</v>
      </c>
      <c r="C28" s="20">
        <v>1E-3</v>
      </c>
      <c r="D28" s="22">
        <f t="shared" si="1"/>
        <v>1E-3</v>
      </c>
      <c r="E28" s="130"/>
    </row>
    <row r="29" spans="1:10">
      <c r="B29" s="348"/>
      <c r="C29" s="348"/>
    </row>
    <row r="30" spans="1:10">
      <c r="I30" s="10"/>
    </row>
    <row r="31" spans="1:10">
      <c r="I31" s="10"/>
    </row>
    <row r="32" spans="1:10">
      <c r="I32" s="10"/>
    </row>
    <row r="38" spans="1:1">
      <c r="A38" s="13"/>
    </row>
  </sheetData>
  <pageMargins left="0.7" right="0.7" top="0.75" bottom="0.75" header="0.3" footer="0.3"/>
  <pageSetup paperSize="9" scale="5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EBAB-F246-40B3-ACD8-AD4E65C4D56F}">
  <dimension ref="A1:V54"/>
  <sheetViews>
    <sheetView showGridLines="0" topLeftCell="A4" zoomScaleNormal="100" workbookViewId="0">
      <selection activeCell="C17" sqref="C17"/>
    </sheetView>
  </sheetViews>
  <sheetFormatPr defaultColWidth="8.7265625" defaultRowHeight="14.75"/>
  <cols>
    <col min="1" max="1" width="26.86328125" style="1" customWidth="1"/>
    <col min="2" max="5" width="14.1328125" style="1" bestFit="1" customWidth="1"/>
    <col min="6" max="6" width="16.40625" style="1" bestFit="1" customWidth="1"/>
    <col min="7" max="7" width="14" style="1" bestFit="1" customWidth="1"/>
    <col min="8" max="8" width="16.54296875" style="1" customWidth="1"/>
    <col min="9" max="10" width="9" style="1" bestFit="1" customWidth="1"/>
    <col min="11" max="11" width="14.86328125" style="1" bestFit="1" customWidth="1"/>
    <col min="12" max="12" width="28.54296875" style="1" bestFit="1" customWidth="1"/>
    <col min="13" max="13" width="21.86328125" style="1" bestFit="1" customWidth="1"/>
    <col min="14" max="16" width="13.86328125" style="1" bestFit="1" customWidth="1"/>
    <col min="17" max="17" width="15.1328125" style="6" bestFit="1" customWidth="1"/>
    <col min="18" max="18" width="10.1328125" style="1" bestFit="1" customWidth="1"/>
    <col min="19" max="20" width="9.1328125" style="1"/>
    <col min="21" max="21" width="15.26953125" style="1" customWidth="1"/>
    <col min="22" max="22" width="16.1328125" style="1" customWidth="1"/>
    <col min="23" max="23" width="16.1328125" style="1" bestFit="1" customWidth="1"/>
    <col min="24" max="16384" width="8.7265625" style="1"/>
  </cols>
  <sheetData>
    <row r="1" spans="1:22" s="222" customFormat="1">
      <c r="A1" s="224" t="s">
        <v>52</v>
      </c>
      <c r="B1" s="225"/>
      <c r="C1" s="225"/>
      <c r="Q1" s="223"/>
    </row>
    <row r="2" spans="1:22">
      <c r="A2" s="8"/>
      <c r="B2" s="8"/>
      <c r="C2" s="8"/>
      <c r="D2" s="8"/>
      <c r="E2" s="8"/>
      <c r="F2" s="8"/>
      <c r="G2" s="8"/>
      <c r="H2" s="8"/>
      <c r="I2" s="8"/>
      <c r="J2" s="8"/>
      <c r="K2" s="134"/>
      <c r="T2" s="137"/>
      <c r="U2" s="135"/>
      <c r="V2" s="135"/>
    </row>
    <row r="3" spans="1:22">
      <c r="A3" s="59" t="s">
        <v>53</v>
      </c>
      <c r="B3" s="8"/>
      <c r="C3" s="8"/>
      <c r="D3" s="8"/>
      <c r="E3" s="8"/>
      <c r="F3" s="8"/>
      <c r="G3" s="8"/>
      <c r="H3" s="8"/>
      <c r="J3" s="8"/>
      <c r="K3" s="95"/>
      <c r="T3" s="82"/>
      <c r="U3" s="135"/>
      <c r="V3" s="135"/>
    </row>
    <row r="4" spans="1:22" ht="29.5">
      <c r="A4" s="21" t="s">
        <v>2</v>
      </c>
      <c r="B4" s="19">
        <f>'[3]2_rinka_duomenys'!C2</f>
        <v>2019</v>
      </c>
      <c r="C4" s="19">
        <f>'[3]2_rinka_duomenys'!D2</f>
        <v>2020</v>
      </c>
      <c r="D4" s="19">
        <f>'[3]2_rinka_duomenys'!E2</f>
        <v>2021</v>
      </c>
      <c r="E4" s="19">
        <f>'[3]2_rinka_duomenys'!F2</f>
        <v>2022</v>
      </c>
      <c r="F4" s="19">
        <f>'[3]2_rinka_duomenys'!G2</f>
        <v>2023</v>
      </c>
      <c r="G4" s="19">
        <v>2024</v>
      </c>
      <c r="H4" s="17" t="s">
        <v>8</v>
      </c>
      <c r="I4" s="8"/>
      <c r="J4" s="90"/>
      <c r="T4" s="82"/>
      <c r="U4" s="135"/>
      <c r="V4" s="135"/>
    </row>
    <row r="5" spans="1:22">
      <c r="A5" s="357" t="s">
        <v>54</v>
      </c>
      <c r="B5" s="351">
        <v>16.905866</v>
      </c>
      <c r="C5" s="351">
        <v>15.817596999999999</v>
      </c>
      <c r="D5" s="351">
        <v>15.089817</v>
      </c>
      <c r="E5" s="351">
        <v>12.139644000000001</v>
      </c>
      <c r="F5" s="351">
        <v>11.705325</v>
      </c>
      <c r="G5" s="358">
        <v>12.476782509999989</v>
      </c>
      <c r="H5" s="353">
        <v>6.5906543389439201E-2</v>
      </c>
      <c r="I5" s="291"/>
      <c r="J5" s="90"/>
      <c r="T5" s="82"/>
      <c r="U5" s="135"/>
      <c r="V5" s="135"/>
    </row>
    <row r="6" spans="1:22">
      <c r="A6" s="355" t="s">
        <v>34</v>
      </c>
      <c r="B6" s="67">
        <f>'[3]2_rinka_duomenys'!C72/1000000</f>
        <v>7.0556660000000004</v>
      </c>
      <c r="C6" s="67">
        <f>'[3]2_rinka_duomenys'!D72/1000000</f>
        <v>6.1461009999999998</v>
      </c>
      <c r="D6" s="67">
        <f>'[3]2_rinka_duomenys'!E72/1000000</f>
        <v>5.8804220000000003</v>
      </c>
      <c r="E6" s="67">
        <f>'[3]2_rinka_duomenys'!F72/1000000</f>
        <v>6.667052</v>
      </c>
      <c r="F6" s="67">
        <f>'[3]2_rinka_duomenys'!G72/1000000</f>
        <v>6.8213730000000004</v>
      </c>
      <c r="G6" s="16">
        <v>7.7135113099999897</v>
      </c>
      <c r="H6" s="20">
        <f t="shared" ref="H6:H7" si="0">((G6/F6*100)-100)/100</f>
        <v>0.130785739175968</v>
      </c>
      <c r="I6" s="291"/>
      <c r="T6" s="82"/>
      <c r="U6" s="135"/>
      <c r="V6" s="135"/>
    </row>
    <row r="7" spans="1:22">
      <c r="A7" s="355" t="s">
        <v>55</v>
      </c>
      <c r="B7" s="67">
        <f>'[3]2_rinka_duomenys'!C76/1000000</f>
        <v>9.8501999999999992</v>
      </c>
      <c r="C7" s="67">
        <f>'[3]2_rinka_duomenys'!D76/1000000</f>
        <v>9.6714959999999994</v>
      </c>
      <c r="D7" s="67">
        <f>'[3]2_rinka_duomenys'!E76/1000000</f>
        <v>9.2093950000000007</v>
      </c>
      <c r="E7" s="67">
        <f>'[3]2_rinka_duomenys'!F76/1000000</f>
        <v>5.4725919999999997</v>
      </c>
      <c r="F7" s="67">
        <f>'[3]2_rinka_duomenys'!G76/1000000</f>
        <v>4.8839519999999998</v>
      </c>
      <c r="G7" s="16">
        <v>4.7632712000000001</v>
      </c>
      <c r="H7" s="20">
        <f t="shared" si="0"/>
        <v>-2.4709661356213105E-2</v>
      </c>
      <c r="I7" s="291"/>
      <c r="T7" s="82"/>
      <c r="U7" s="135"/>
      <c r="V7" s="135"/>
    </row>
    <row r="8" spans="1:22">
      <c r="L8" s="95"/>
      <c r="M8" s="95"/>
      <c r="N8" s="95"/>
      <c r="O8" s="95"/>
      <c r="P8" s="82"/>
      <c r="Q8" s="98"/>
      <c r="R8" s="82"/>
      <c r="S8" s="82"/>
      <c r="T8" s="141"/>
      <c r="U8" s="138"/>
      <c r="V8" s="139"/>
    </row>
    <row r="9" spans="1:22">
      <c r="A9" s="84" t="s">
        <v>56</v>
      </c>
      <c r="F9" s="261"/>
      <c r="T9" s="82"/>
      <c r="U9" s="135"/>
      <c r="V9" s="135"/>
    </row>
    <row r="10" spans="1:22" ht="29.5">
      <c r="A10" s="18" t="s">
        <v>45</v>
      </c>
      <c r="B10" s="19">
        <v>2023</v>
      </c>
      <c r="C10" s="19">
        <v>2024</v>
      </c>
      <c r="D10" s="66" t="s">
        <v>8</v>
      </c>
      <c r="E10" s="90"/>
      <c r="T10" s="82"/>
      <c r="U10" s="135"/>
      <c r="V10" s="135"/>
    </row>
    <row r="11" spans="1:22">
      <c r="A11" s="93" t="s">
        <v>47</v>
      </c>
      <c r="B11" s="20">
        <v>0.58250000000000002</v>
      </c>
      <c r="C11" s="20">
        <v>0.61819999999999997</v>
      </c>
      <c r="D11" s="20">
        <f>C11-B11</f>
        <v>3.5699999999999954E-2</v>
      </c>
      <c r="K11" s="82"/>
      <c r="T11" s="82"/>
      <c r="U11" s="135"/>
      <c r="V11" s="135"/>
    </row>
    <row r="12" spans="1:22">
      <c r="A12" s="93" t="s">
        <v>46</v>
      </c>
      <c r="B12" s="83">
        <v>0.41160000000000002</v>
      </c>
      <c r="C12" s="20">
        <v>0.36359999999999998</v>
      </c>
      <c r="D12" s="20">
        <f t="shared" ref="D12:D16" si="1">C12-B12</f>
        <v>-4.8000000000000043E-2</v>
      </c>
      <c r="K12" s="135"/>
      <c r="T12" s="135"/>
      <c r="U12" s="135"/>
      <c r="V12" s="135"/>
    </row>
    <row r="13" spans="1:22">
      <c r="A13" s="93" t="s">
        <v>48</v>
      </c>
      <c r="B13" s="83">
        <v>4.7999999999999996E-3</v>
      </c>
      <c r="C13" s="20">
        <v>1.2999999999999999E-2</v>
      </c>
      <c r="D13" s="20">
        <f t="shared" si="1"/>
        <v>8.199999999999999E-3</v>
      </c>
    </row>
    <row r="14" spans="1:22">
      <c r="A14" s="93" t="s">
        <v>49</v>
      </c>
      <c r="B14" s="83">
        <v>1.1000000000000001E-3</v>
      </c>
      <c r="C14" s="20">
        <v>1.1999999999999999E-3</v>
      </c>
      <c r="D14" s="20">
        <f t="shared" si="1"/>
        <v>9.9999999999999829E-5</v>
      </c>
    </row>
    <row r="15" spans="1:22">
      <c r="A15" s="93" t="s">
        <v>57</v>
      </c>
      <c r="B15" s="83"/>
      <c r="C15" s="20">
        <v>3.3E-3</v>
      </c>
      <c r="D15" s="20">
        <f t="shared" si="1"/>
        <v>3.3E-3</v>
      </c>
    </row>
    <row r="16" spans="1:22">
      <c r="A16" s="93" t="s">
        <v>58</v>
      </c>
      <c r="B16" s="83"/>
      <c r="C16" s="20">
        <v>6.9999999999999999E-4</v>
      </c>
      <c r="D16" s="20">
        <f t="shared" si="1"/>
        <v>6.9999999999999999E-4</v>
      </c>
      <c r="L16" s="82"/>
      <c r="M16" s="82"/>
      <c r="N16" s="82"/>
      <c r="O16" s="82"/>
      <c r="P16" s="82"/>
      <c r="Q16" s="98"/>
      <c r="R16" s="82"/>
      <c r="S16" s="82"/>
    </row>
    <row r="17" spans="1:20">
      <c r="A17" s="220" t="s">
        <v>59</v>
      </c>
      <c r="B17" s="348"/>
      <c r="C17" s="348"/>
      <c r="L17" s="135"/>
      <c r="M17" s="135"/>
      <c r="N17" s="135"/>
      <c r="O17" s="135"/>
      <c r="P17" s="135"/>
      <c r="Q17" s="136"/>
      <c r="R17" s="135"/>
      <c r="S17" s="135"/>
    </row>
    <row r="18" spans="1:20">
      <c r="A18" s="160"/>
      <c r="T18" s="82"/>
    </row>
    <row r="19" spans="1:20">
      <c r="A19" s="59" t="s">
        <v>60</v>
      </c>
      <c r="J19" s="90"/>
      <c r="L19" s="82"/>
      <c r="M19" s="82"/>
      <c r="N19" s="82"/>
      <c r="O19" s="82"/>
      <c r="P19" s="82"/>
      <c r="Q19" s="82"/>
      <c r="R19" s="98"/>
      <c r="S19" s="82"/>
      <c r="T19" s="140"/>
    </row>
    <row r="20" spans="1:20" ht="29.5">
      <c r="A20" s="21" t="s">
        <v>2</v>
      </c>
      <c r="B20" s="19">
        <v>2019</v>
      </c>
      <c r="C20" s="19">
        <v>2020</v>
      </c>
      <c r="D20" s="19">
        <v>2021</v>
      </c>
      <c r="E20" s="19">
        <v>2022</v>
      </c>
      <c r="F20" s="19">
        <v>2023</v>
      </c>
      <c r="G20" s="19">
        <v>2024</v>
      </c>
      <c r="H20" s="17" t="s">
        <v>8</v>
      </c>
      <c r="J20" s="82"/>
      <c r="K20" s="82"/>
      <c r="L20" s="82"/>
      <c r="M20" s="82"/>
      <c r="N20" s="82"/>
      <c r="O20" s="82"/>
      <c r="P20" s="82"/>
      <c r="Q20" s="82"/>
      <c r="R20" s="98"/>
      <c r="S20" s="82"/>
      <c r="T20" s="141"/>
    </row>
    <row r="21" spans="1:20">
      <c r="A21" s="359" t="s">
        <v>61</v>
      </c>
      <c r="B21" s="228">
        <f>'[3]2_rinka_duomenys'!C87/1000000</f>
        <v>1.9671829999999999</v>
      </c>
      <c r="C21" s="228">
        <f>'[3]2_rinka_duomenys'!D87/1000000</f>
        <v>1.4845969999999999</v>
      </c>
      <c r="D21" s="228">
        <f>'[3]2_rinka_duomenys'!E87/1000000</f>
        <v>1.36476</v>
      </c>
      <c r="E21" s="228">
        <f>'[3]2_rinka_duomenys'!F87/1000000</f>
        <v>1.6230329999999999</v>
      </c>
      <c r="F21" s="228">
        <f>'[3]2_rinka_duomenys'!G87/1000000</f>
        <v>1.7997274782196002</v>
      </c>
      <c r="G21" s="217">
        <f>G22+G23</f>
        <v>1.8129929999999999</v>
      </c>
      <c r="H21" s="286">
        <f>((G21/F21*100)-100)/100</f>
        <v>7.3708502764667115E-3</v>
      </c>
      <c r="I21" s="130"/>
      <c r="J21" s="90"/>
      <c r="K21" s="82"/>
      <c r="L21" s="82"/>
      <c r="M21" s="82"/>
      <c r="N21" s="82"/>
      <c r="O21" s="82"/>
      <c r="P21" s="82"/>
      <c r="Q21" s="82"/>
      <c r="R21" s="98"/>
      <c r="S21" s="82"/>
      <c r="T21" s="176"/>
    </row>
    <row r="22" spans="1:20">
      <c r="A22" s="75" t="s">
        <v>62</v>
      </c>
      <c r="B22" s="67">
        <f>'[3]2_rinka_duomenys'!C88/1000000</f>
        <v>1.911197</v>
      </c>
      <c r="C22" s="67">
        <f>'[3]2_rinka_duomenys'!D88/1000000</f>
        <v>1.4052450000000001</v>
      </c>
      <c r="D22" s="67">
        <f>'[3]2_rinka_duomenys'!E88/1000000</f>
        <v>1.293031</v>
      </c>
      <c r="E22" s="67">
        <f>'[3]2_rinka_duomenys'!F88/1000000</f>
        <v>1.583385</v>
      </c>
      <c r="F22" s="67">
        <f>'[3]2_rinka_duomenys'!G88/1000000</f>
        <v>1.7670934782196002</v>
      </c>
      <c r="G22" s="16">
        <v>1.7863089999999999</v>
      </c>
      <c r="H22" s="78">
        <f t="shared" ref="H22:H32" si="2">((G22/F22*100)-100)/100</f>
        <v>1.0874083356223991E-2</v>
      </c>
      <c r="I22" s="130"/>
      <c r="J22" s="82"/>
      <c r="K22" s="82"/>
      <c r="L22" s="82"/>
      <c r="M22" s="82"/>
      <c r="N22" s="82"/>
      <c r="O22" s="82"/>
      <c r="P22" s="82"/>
      <c r="Q22" s="82"/>
      <c r="R22" s="82"/>
      <c r="S22" s="82"/>
      <c r="T22" s="176"/>
    </row>
    <row r="23" spans="1:20">
      <c r="A23" s="75" t="s">
        <v>63</v>
      </c>
      <c r="B23" s="67">
        <f>'[3]2_rinka_duomenys'!C89/1000000</f>
        <v>5.5986000000000001E-2</v>
      </c>
      <c r="C23" s="67">
        <f>'[3]2_rinka_duomenys'!D89/1000000</f>
        <v>7.9352000000000006E-2</v>
      </c>
      <c r="D23" s="67">
        <f>'[3]2_rinka_duomenys'!E89/1000000</f>
        <v>7.1729000000000001E-2</v>
      </c>
      <c r="E23" s="67">
        <f>'[3]2_rinka_duomenys'!F89/1000000</f>
        <v>3.9648000000000003E-2</v>
      </c>
      <c r="F23" s="67">
        <f>'[3]2_rinka_duomenys'!G89/1000000</f>
        <v>3.2634000000000003E-2</v>
      </c>
      <c r="G23" s="16">
        <v>2.6683999999999999E-2</v>
      </c>
      <c r="H23" s="302">
        <f t="shared" si="2"/>
        <v>-0.18232518232518247</v>
      </c>
      <c r="I23" s="130"/>
      <c r="J23" s="82"/>
      <c r="K23" s="199"/>
      <c r="L23" s="82"/>
      <c r="M23" s="82"/>
      <c r="N23" s="82"/>
      <c r="O23" s="82"/>
      <c r="P23" s="82"/>
      <c r="Q23" s="82"/>
      <c r="R23" s="82"/>
      <c r="S23" s="82"/>
      <c r="T23" s="176"/>
    </row>
    <row r="24" spans="1:20">
      <c r="A24" s="360" t="s">
        <v>64</v>
      </c>
      <c r="B24" s="228">
        <f>'[3]2_rinka_duomenys'!C91/1000000</f>
        <v>14.938682999999999</v>
      </c>
      <c r="C24" s="228">
        <f>'[3]2_rinka_duomenys'!D91/1000000</f>
        <v>14.333</v>
      </c>
      <c r="D24" s="228">
        <f>'[3]2_rinka_duomenys'!E91/1000000</f>
        <v>13.725057</v>
      </c>
      <c r="E24" s="228">
        <f>'[3]2_rinka_duomenys'!F91/1000000</f>
        <v>10.516610999999999</v>
      </c>
      <c r="F24" s="228">
        <f>'[3]2_rinka_duomenys'!G91/1000000</f>
        <v>9.9055975217804004</v>
      </c>
      <c r="G24" s="217">
        <f>G25+G26</f>
        <v>8.9535511999999997</v>
      </c>
      <c r="H24" s="286">
        <f t="shared" si="2"/>
        <v>-9.6111952831421238E-2</v>
      </c>
      <c r="I24" s="130"/>
      <c r="J24" s="90"/>
      <c r="K24" s="82"/>
      <c r="L24" s="162"/>
      <c r="M24" s="163"/>
      <c r="N24" s="141"/>
      <c r="O24" s="164"/>
      <c r="P24" s="164"/>
      <c r="Q24" s="165"/>
      <c r="R24" s="166"/>
      <c r="S24" s="167"/>
      <c r="T24" s="176"/>
    </row>
    <row r="25" spans="1:20">
      <c r="A25" s="75" t="s">
        <v>62</v>
      </c>
      <c r="B25" s="67">
        <f>'[3]2_rinka_duomenys'!C92/1000000</f>
        <v>5.144469</v>
      </c>
      <c r="C25" s="67">
        <f>'[3]2_rinka_duomenys'!D92/1000000</f>
        <v>4.740856</v>
      </c>
      <c r="D25" s="67">
        <f>'[3]2_rinka_duomenys'!E92/1000000</f>
        <v>4.5873910000000002</v>
      </c>
      <c r="E25" s="67">
        <f>'[3]2_rinka_duomenys'!F92/1000000</f>
        <v>5.0836670000000002</v>
      </c>
      <c r="F25" s="67">
        <f>'[3]2_rinka_duomenys'!G92/1000000</f>
        <v>5.0489345217803994</v>
      </c>
      <c r="G25" s="16">
        <v>4.2177790000000002</v>
      </c>
      <c r="H25" s="78">
        <f t="shared" si="2"/>
        <v>-0.16461998431449459</v>
      </c>
      <c r="I25" s="130"/>
      <c r="J25" s="82"/>
      <c r="K25" s="82"/>
      <c r="L25" s="168"/>
      <c r="M25" s="82"/>
      <c r="N25" s="170"/>
      <c r="O25" s="171"/>
      <c r="P25" s="171"/>
      <c r="Q25" s="172"/>
      <c r="R25" s="173"/>
      <c r="S25" s="170"/>
      <c r="T25" s="176"/>
    </row>
    <row r="26" spans="1:20">
      <c r="A26" s="75" t="s">
        <v>63</v>
      </c>
      <c r="B26" s="67">
        <f>'[3]2_rinka_duomenys'!C93/1000000</f>
        <v>9.7942140000000002</v>
      </c>
      <c r="C26" s="67">
        <f>'[3]2_rinka_duomenys'!D93/1000000</f>
        <v>9.5921439999999993</v>
      </c>
      <c r="D26" s="67">
        <f>'[3]2_rinka_duomenys'!E93/1000000</f>
        <v>9.1376659999999994</v>
      </c>
      <c r="E26" s="67">
        <f>'[3]2_rinka_duomenys'!F93/1000000</f>
        <v>5.432944</v>
      </c>
      <c r="F26" s="67">
        <f>'[3]2_rinka_duomenys'!G93/1000000</f>
        <v>4.8566630000000002</v>
      </c>
      <c r="G26" s="16">
        <v>4.7357722000000004</v>
      </c>
      <c r="H26" s="78">
        <f t="shared" si="2"/>
        <v>-2.4891741510580375E-2</v>
      </c>
      <c r="I26" s="130"/>
      <c r="J26" s="82"/>
      <c r="K26" s="82"/>
      <c r="L26" s="168"/>
      <c r="M26" s="82"/>
      <c r="N26" s="170"/>
      <c r="O26" s="174"/>
      <c r="P26" s="174"/>
      <c r="Q26" s="170"/>
      <c r="R26" s="173"/>
      <c r="S26" s="175"/>
      <c r="T26" s="176"/>
    </row>
    <row r="27" spans="1:20">
      <c r="A27" s="229" t="s">
        <v>61</v>
      </c>
      <c r="B27" s="286">
        <f t="shared" ref="B27:G27" si="3">B21/(B21+B24)</f>
        <v>0.11636097198451709</v>
      </c>
      <c r="C27" s="286">
        <f t="shared" si="3"/>
        <v>9.3857303356508576E-2</v>
      </c>
      <c r="D27" s="286">
        <f t="shared" si="3"/>
        <v>9.044244870564036E-2</v>
      </c>
      <c r="E27" s="286">
        <f t="shared" si="3"/>
        <v>0.1336969189541308</v>
      </c>
      <c r="F27" s="286">
        <f t="shared" si="3"/>
        <v>0.15375288411211138</v>
      </c>
      <c r="G27" s="286">
        <f t="shared" si="3"/>
        <v>0.16839135811098976</v>
      </c>
      <c r="H27" s="286">
        <f t="shared" si="2"/>
        <v>9.5207801033537154E-2</v>
      </c>
      <c r="I27" s="130"/>
      <c r="J27" s="90"/>
      <c r="K27" s="82"/>
      <c r="L27" s="168"/>
      <c r="M27" s="82"/>
      <c r="N27" s="169"/>
      <c r="O27" s="171"/>
      <c r="P27" s="171"/>
      <c r="Q27" s="172"/>
      <c r="R27" s="173"/>
      <c r="S27" s="170"/>
      <c r="T27" s="176"/>
    </row>
    <row r="28" spans="1:20">
      <c r="A28" s="75" t="s">
        <v>62</v>
      </c>
      <c r="B28" s="78">
        <f t="shared" ref="B28:G28" si="4">B22/B21</f>
        <v>0.97154001432505266</v>
      </c>
      <c r="C28" s="78">
        <f t="shared" si="4"/>
        <v>0.94654980442503933</v>
      </c>
      <c r="D28" s="78">
        <f t="shared" si="4"/>
        <v>0.94744204109147401</v>
      </c>
      <c r="E28" s="78">
        <f t="shared" si="4"/>
        <v>0.97557166120467054</v>
      </c>
      <c r="F28" s="78">
        <f t="shared" si="4"/>
        <v>0.98186725468442393</v>
      </c>
      <c r="G28" s="78">
        <f t="shared" si="4"/>
        <v>0.98528179645481262</v>
      </c>
      <c r="H28" s="78">
        <f t="shared" si="2"/>
        <v>3.4776002092931435E-3</v>
      </c>
      <c r="I28" s="130"/>
      <c r="J28" s="82"/>
      <c r="K28" s="82"/>
      <c r="L28" s="168"/>
      <c r="M28" s="169"/>
      <c r="N28" s="170"/>
      <c r="O28" s="174"/>
      <c r="P28" s="174"/>
      <c r="Q28" s="170"/>
      <c r="R28" s="173"/>
      <c r="S28" s="175"/>
      <c r="T28" s="176"/>
    </row>
    <row r="29" spans="1:20">
      <c r="A29" s="75" t="s">
        <v>63</v>
      </c>
      <c r="B29" s="78">
        <f t="shared" ref="B29:G29" si="5">B23/B21</f>
        <v>2.8459985674947376E-2</v>
      </c>
      <c r="C29" s="78">
        <f t="shared" si="5"/>
        <v>5.3450195574960752E-2</v>
      </c>
      <c r="D29" s="78">
        <f t="shared" si="5"/>
        <v>5.2557958908526041E-2</v>
      </c>
      <c r="E29" s="78">
        <f t="shared" si="5"/>
        <v>2.4428338795329487E-2</v>
      </c>
      <c r="F29" s="78">
        <f t="shared" si="5"/>
        <v>1.8132745315576078E-2</v>
      </c>
      <c r="G29" s="78">
        <f t="shared" si="5"/>
        <v>1.4718203545187434E-2</v>
      </c>
      <c r="H29" s="78">
        <f t="shared" si="2"/>
        <v>-0.18830804221661596</v>
      </c>
      <c r="I29" s="130"/>
      <c r="J29" s="82"/>
      <c r="K29" s="82"/>
      <c r="L29" s="168"/>
      <c r="M29" s="169"/>
      <c r="N29" s="170"/>
      <c r="O29" s="174"/>
      <c r="P29" s="174"/>
      <c r="Q29" s="170"/>
      <c r="R29" s="173"/>
      <c r="S29" s="175"/>
      <c r="T29" s="176"/>
    </row>
    <row r="30" spans="1:20">
      <c r="A30" s="360" t="s">
        <v>64</v>
      </c>
      <c r="B30" s="230">
        <f t="shared" ref="B30:G30" si="6">B24/(B24+B21)</f>
        <v>0.88363902801548289</v>
      </c>
      <c r="C30" s="230">
        <f t="shared" si="6"/>
        <v>0.90614269664349145</v>
      </c>
      <c r="D30" s="230">
        <f t="shared" si="6"/>
        <v>0.90955755129435956</v>
      </c>
      <c r="E30" s="230">
        <f t="shared" si="6"/>
        <v>0.86630308104586928</v>
      </c>
      <c r="F30" s="230">
        <f t="shared" si="6"/>
        <v>0.8462471158878887</v>
      </c>
      <c r="G30" s="230">
        <f t="shared" si="6"/>
        <v>0.83160864188901018</v>
      </c>
      <c r="H30" s="286">
        <f t="shared" si="2"/>
        <v>-1.7298107992391464E-2</v>
      </c>
      <c r="I30" s="130"/>
      <c r="J30" s="90"/>
      <c r="K30" s="82"/>
      <c r="L30" s="168"/>
      <c r="M30" s="169"/>
      <c r="N30" s="170"/>
      <c r="O30" s="174"/>
      <c r="P30" s="174"/>
      <c r="Q30" s="170"/>
      <c r="R30" s="173"/>
      <c r="S30" s="175"/>
      <c r="T30" s="176"/>
    </row>
    <row r="31" spans="1:20">
      <c r="A31" s="75" t="s">
        <v>62</v>
      </c>
      <c r="B31" s="78">
        <f>B25/B24</f>
        <v>0.34437232519091543</v>
      </c>
      <c r="C31" s="78">
        <f t="shared" ref="C31:G31" si="7">C25/C24</f>
        <v>0.33076508756017581</v>
      </c>
      <c r="D31" s="78">
        <f t="shared" si="7"/>
        <v>0.33423475035477085</v>
      </c>
      <c r="E31" s="78">
        <f t="shared" si="7"/>
        <v>0.48339403254527535</v>
      </c>
      <c r="F31" s="78">
        <f t="shared" si="7"/>
        <v>0.50970519554007887</v>
      </c>
      <c r="G31" s="78">
        <f t="shared" si="7"/>
        <v>0.47107330999570318</v>
      </c>
      <c r="H31" s="78">
        <f t="shared" si="2"/>
        <v>-7.5792606946926785E-2</v>
      </c>
      <c r="I31" s="130"/>
      <c r="J31" s="82"/>
      <c r="K31" s="82"/>
      <c r="L31" s="82"/>
      <c r="M31" s="82"/>
      <c r="N31" s="82"/>
      <c r="O31" s="174"/>
      <c r="P31" s="174"/>
      <c r="Q31" s="170"/>
      <c r="R31" s="173"/>
      <c r="S31" s="175"/>
    </row>
    <row r="32" spans="1:20">
      <c r="A32" s="75" t="s">
        <v>63</v>
      </c>
      <c r="B32" s="78">
        <f>B26/B24</f>
        <v>0.65562767480908457</v>
      </c>
      <c r="C32" s="78">
        <f t="shared" ref="C32:G32" si="8">C26/C24</f>
        <v>0.66923491243982414</v>
      </c>
      <c r="D32" s="78">
        <f t="shared" si="8"/>
        <v>0.6657652496452291</v>
      </c>
      <c r="E32" s="78">
        <f t="shared" si="8"/>
        <v>0.51660596745472476</v>
      </c>
      <c r="F32" s="78">
        <f t="shared" si="8"/>
        <v>0.49029480445992107</v>
      </c>
      <c r="G32" s="78">
        <f t="shared" si="8"/>
        <v>0.52892669000429693</v>
      </c>
      <c r="H32" s="78">
        <f t="shared" si="2"/>
        <v>7.8793177478048759E-2</v>
      </c>
      <c r="I32" s="130"/>
      <c r="J32" s="82"/>
      <c r="K32" s="82"/>
      <c r="L32" s="168"/>
      <c r="M32" s="169"/>
      <c r="N32" s="170"/>
      <c r="O32" s="174"/>
      <c r="P32" s="174"/>
      <c r="Q32" s="170"/>
      <c r="R32" s="173"/>
      <c r="S32" s="175"/>
    </row>
    <row r="33" spans="1:19">
      <c r="A33" s="69"/>
      <c r="B33" s="70"/>
      <c r="C33" s="70"/>
      <c r="D33" s="70"/>
      <c r="E33" s="70"/>
      <c r="F33" s="70"/>
      <c r="G33" s="70"/>
      <c r="H33" s="71"/>
      <c r="L33" s="168"/>
      <c r="M33" s="169"/>
      <c r="N33" s="170"/>
      <c r="O33" s="174"/>
      <c r="P33" s="174"/>
      <c r="Q33" s="170"/>
      <c r="R33" s="173"/>
      <c r="S33" s="175"/>
    </row>
    <row r="43" spans="1:19">
      <c r="I43" s="10"/>
    </row>
    <row r="44" spans="1:19">
      <c r="I44" s="10"/>
    </row>
    <row r="45" spans="1:19">
      <c r="I45" s="10"/>
    </row>
    <row r="46" spans="1:19">
      <c r="I46" s="10"/>
    </row>
    <row r="47" spans="1:19">
      <c r="I47" s="10"/>
    </row>
    <row r="48" spans="1:19">
      <c r="I48" s="10"/>
    </row>
    <row r="54" spans="1:1">
      <c r="A54" s="13"/>
    </row>
  </sheetData>
  <pageMargins left="0.7" right="0.7" top="0.75" bottom="0.75" header="0.3" footer="0.3"/>
  <pageSetup paperSize="9" scale="5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47A1-B827-4BF1-9F69-9FC7BDC005BE}">
  <dimension ref="A1:V46"/>
  <sheetViews>
    <sheetView showGridLines="0" topLeftCell="A11" zoomScale="110" zoomScaleNormal="110" workbookViewId="0">
      <selection activeCell="F14" sqref="F13:F14"/>
    </sheetView>
  </sheetViews>
  <sheetFormatPr defaultColWidth="8.7265625" defaultRowHeight="14.75"/>
  <cols>
    <col min="1" max="1" width="47.40625" style="1" customWidth="1"/>
    <col min="2" max="5" width="14.1328125" style="1" bestFit="1" customWidth="1"/>
    <col min="6" max="6" width="16.40625" style="1" bestFit="1" customWidth="1"/>
    <col min="7" max="7" width="14" style="1" bestFit="1" customWidth="1"/>
    <col min="8" max="8" width="16.54296875" style="1" customWidth="1"/>
    <col min="9" max="10" width="9" style="1" bestFit="1" customWidth="1"/>
    <col min="11" max="11" width="14.86328125" style="1" bestFit="1" customWidth="1"/>
    <col min="12" max="12" width="28.54296875" style="1" bestFit="1" customWidth="1"/>
    <col min="13" max="13" width="21.86328125" style="1" bestFit="1" customWidth="1"/>
    <col min="14" max="16" width="13.86328125" style="1" bestFit="1" customWidth="1"/>
    <col min="17" max="17" width="15.1328125" style="6" bestFit="1" customWidth="1"/>
    <col min="18" max="18" width="10.1328125" style="1" bestFit="1" customWidth="1"/>
    <col min="19" max="20" width="9.1328125" style="1"/>
    <col min="21" max="21" width="15.26953125" style="1" customWidth="1"/>
    <col min="22" max="22" width="16.1328125" style="1" customWidth="1"/>
    <col min="23" max="23" width="16.1328125" style="1" bestFit="1" customWidth="1"/>
    <col min="24" max="16384" width="8.7265625" style="1"/>
  </cols>
  <sheetData>
    <row r="1" spans="1:22" s="222" customFormat="1">
      <c r="A1" s="221" t="s">
        <v>65</v>
      </c>
      <c r="Q1" s="223"/>
    </row>
    <row r="2" spans="1:22">
      <c r="A2" s="323"/>
    </row>
    <row r="3" spans="1:22">
      <c r="A3" s="59" t="s">
        <v>66</v>
      </c>
      <c r="J3" s="94"/>
      <c r="K3" s="96"/>
      <c r="T3" s="8"/>
      <c r="U3" s="8"/>
      <c r="V3" s="8"/>
    </row>
    <row r="4" spans="1:22" ht="18.75" customHeight="1">
      <c r="A4" s="21" t="s">
        <v>2</v>
      </c>
      <c r="B4" s="19">
        <v>2019</v>
      </c>
      <c r="C4" s="19">
        <v>2020</v>
      </c>
      <c r="D4" s="19">
        <v>2021</v>
      </c>
      <c r="E4" s="19">
        <v>2022</v>
      </c>
      <c r="F4" s="19">
        <v>2023</v>
      </c>
      <c r="G4" s="19">
        <v>2024</v>
      </c>
      <c r="H4" s="17" t="s">
        <v>8</v>
      </c>
      <c r="J4" s="323"/>
      <c r="K4" s="94"/>
    </row>
    <row r="5" spans="1:22">
      <c r="A5" s="361" t="s">
        <v>67</v>
      </c>
      <c r="B5" s="362">
        <f>'[3]2_rinka_duomenys'!C100/1000000000</f>
        <v>16.191224147</v>
      </c>
      <c r="C5" s="362">
        <f>'[3]2_rinka_duomenys'!D100/1000000000</f>
        <v>15.877285776000001</v>
      </c>
      <c r="D5" s="362">
        <f>'[3]2_rinka_duomenys'!E100/1000000000</f>
        <v>14.578955313</v>
      </c>
      <c r="E5" s="362">
        <f>'[3]2_rinka_duomenys'!F100/1000000000</f>
        <v>7.4156868989999998</v>
      </c>
      <c r="F5" s="362">
        <f>'[3]2_rinka_duomenys'!G100/1000000000</f>
        <v>6.3953998570000001</v>
      </c>
      <c r="G5" s="363">
        <f>G6+G7</f>
        <v>6.2417708014900004</v>
      </c>
      <c r="H5" s="364">
        <f>((G5/F5*100)-100)/100</f>
        <v>-2.4021806133333001E-2</v>
      </c>
      <c r="I5" s="130"/>
      <c r="K5" s="94"/>
    </row>
    <row r="6" spans="1:22">
      <c r="A6" s="365" t="s">
        <v>68</v>
      </c>
      <c r="B6" s="73">
        <f>'[3]2_rinka_duomenys'!C102/1000000000</f>
        <v>3.8439351469999998</v>
      </c>
      <c r="C6" s="73">
        <f>'[3]2_rinka_duomenys'!D102/1000000000</f>
        <v>3.8301187759999999</v>
      </c>
      <c r="D6" s="73">
        <f>'[3]2_rinka_duomenys'!E102/1000000000</f>
        <v>3.6127822119999999</v>
      </c>
      <c r="E6" s="73">
        <f>'[3]2_rinka_duomenys'!F102/1000000000</f>
        <v>3.454492879</v>
      </c>
      <c r="F6" s="73">
        <f>'[3]2_rinka_duomenys'!G102/1000000000</f>
        <v>3.9146006230000001</v>
      </c>
      <c r="G6" s="226">
        <v>4.25459437549</v>
      </c>
      <c r="H6" s="74">
        <f>((G6/F6*100)-100)/100</f>
        <v>8.6852730388992119E-2</v>
      </c>
      <c r="I6" s="130"/>
      <c r="K6" s="94"/>
    </row>
    <row r="7" spans="1:22">
      <c r="A7" s="365" t="s">
        <v>69</v>
      </c>
      <c r="B7" s="73">
        <f>'[3]2_rinka_duomenys'!C103/1000000000</f>
        <v>12.347289</v>
      </c>
      <c r="C7" s="73">
        <f>'[3]2_rinka_duomenys'!D103/1000000000</f>
        <v>12.047167</v>
      </c>
      <c r="D7" s="73">
        <f>'[3]2_rinka_duomenys'!E103/1000000000</f>
        <v>10.966173101000001</v>
      </c>
      <c r="E7" s="73">
        <f>'[3]2_rinka_duomenys'!F103/1000000000</f>
        <v>3.9611940200000002</v>
      </c>
      <c r="F7" s="73">
        <f>'[3]2_rinka_duomenys'!G103/1000000000</f>
        <v>2.480799234</v>
      </c>
      <c r="G7" s="226">
        <v>1.987176426</v>
      </c>
      <c r="H7" s="74">
        <f t="shared" ref="H7:H22" si="0">((G7/F7*100)-100)/100</f>
        <v>-0.19897733006152649</v>
      </c>
      <c r="I7" s="130"/>
    </row>
    <row r="8" spans="1:22">
      <c r="A8" s="366" t="s">
        <v>70</v>
      </c>
      <c r="B8" s="73">
        <f>'[3]2_rinka_duomenys'!C104/1000000000</f>
        <v>1.9115310000000001</v>
      </c>
      <c r="C8" s="73">
        <f>'[3]2_rinka_duomenys'!D104/1000000000</f>
        <v>2.5947809999999998</v>
      </c>
      <c r="D8" s="73">
        <f>'[3]2_rinka_duomenys'!E104/1000000000</f>
        <v>2.7835967849999999</v>
      </c>
      <c r="E8" s="73">
        <f>'[3]2_rinka_duomenys'!F104/1000000000</f>
        <v>1.9209066850000001</v>
      </c>
      <c r="F8" s="73">
        <f>'[3]2_rinka_duomenys'!G104/1000000000</f>
        <v>1.45540487</v>
      </c>
      <c r="G8" s="226">
        <v>1.1823676949999999</v>
      </c>
      <c r="H8" s="74">
        <f t="shared" si="0"/>
        <v>-0.1876022133964689</v>
      </c>
      <c r="I8" s="130"/>
    </row>
    <row r="9" spans="1:22">
      <c r="A9" s="367"/>
      <c r="B9" s="111"/>
      <c r="C9" s="111"/>
      <c r="D9" s="111"/>
      <c r="E9" s="111"/>
      <c r="F9" s="111"/>
      <c r="G9" s="289"/>
      <c r="H9" s="113"/>
    </row>
    <row r="10" spans="1:22" s="62" customFormat="1">
      <c r="A10" s="84" t="s">
        <v>71</v>
      </c>
      <c r="E10" s="111"/>
      <c r="F10" s="111"/>
      <c r="G10" s="227"/>
      <c r="H10" s="113"/>
      <c r="L10" s="94"/>
      <c r="M10" s="94"/>
      <c r="N10" s="94"/>
      <c r="O10" s="94"/>
      <c r="P10" s="96"/>
      <c r="Q10" s="6"/>
      <c r="R10" s="1"/>
      <c r="S10" s="1"/>
    </row>
    <row r="11" spans="1:22" s="62" customFormat="1" ht="29.5">
      <c r="A11" s="72" t="s">
        <v>45</v>
      </c>
      <c r="B11" s="132">
        <v>2023</v>
      </c>
      <c r="C11" s="132">
        <v>2024</v>
      </c>
      <c r="D11" s="66" t="s">
        <v>8</v>
      </c>
      <c r="E11" s="111"/>
      <c r="F11" s="111"/>
      <c r="G11" s="227"/>
      <c r="H11" s="113"/>
      <c r="L11" s="1"/>
      <c r="M11" s="1"/>
      <c r="N11" s="1"/>
      <c r="O11" s="1"/>
      <c r="P11" s="1"/>
      <c r="Q11" s="6"/>
      <c r="R11" s="1"/>
      <c r="S11" s="1"/>
    </row>
    <row r="12" spans="1:22" s="62" customFormat="1">
      <c r="A12" s="150" t="s">
        <v>46</v>
      </c>
      <c r="B12" s="133">
        <v>0.9839</v>
      </c>
      <c r="C12" s="74">
        <v>0.94969999999999999</v>
      </c>
      <c r="D12" s="231">
        <f t="shared" ref="D12:D16" si="1">C12-B12</f>
        <v>-3.4200000000000008E-2</v>
      </c>
      <c r="E12" s="111"/>
      <c r="F12" s="111"/>
      <c r="G12" s="227"/>
      <c r="H12" s="113"/>
      <c r="L12" s="1"/>
      <c r="M12" s="1"/>
      <c r="N12" s="1"/>
      <c r="O12" s="1"/>
      <c r="P12" s="1"/>
      <c r="Q12" s="6"/>
      <c r="R12" s="1"/>
      <c r="S12" s="1"/>
    </row>
    <row r="13" spans="1:22" s="62" customFormat="1">
      <c r="A13" s="150" t="s">
        <v>48</v>
      </c>
      <c r="B13" s="133">
        <v>1.47E-2</v>
      </c>
      <c r="C13" s="74">
        <v>3.7900000000000003E-2</v>
      </c>
      <c r="D13" s="231">
        <f t="shared" si="1"/>
        <v>2.3200000000000005E-2</v>
      </c>
      <c r="E13" s="111"/>
      <c r="F13" s="111"/>
      <c r="G13" s="227"/>
      <c r="H13" s="113"/>
      <c r="L13" s="1"/>
      <c r="M13" s="1"/>
      <c r="N13" s="1"/>
      <c r="O13" s="1"/>
      <c r="P13" s="1"/>
      <c r="Q13" s="6"/>
      <c r="R13" s="1"/>
      <c r="S13" s="1"/>
    </row>
    <row r="14" spans="1:22" s="62" customFormat="1">
      <c r="A14" s="150" t="s">
        <v>49</v>
      </c>
      <c r="B14" s="133">
        <v>1.4E-3</v>
      </c>
      <c r="C14" s="74">
        <v>1.6000000000000001E-3</v>
      </c>
      <c r="D14" s="231">
        <f t="shared" si="1"/>
        <v>2.0000000000000009E-4</v>
      </c>
      <c r="E14" s="111"/>
      <c r="F14" s="111"/>
      <c r="G14" s="227"/>
      <c r="H14" s="113"/>
      <c r="Q14" s="131"/>
    </row>
    <row r="15" spans="1:22" s="62" customFormat="1">
      <c r="A15" s="150" t="s">
        <v>57</v>
      </c>
      <c r="B15" s="133"/>
      <c r="C15" s="74">
        <v>9.7000000000000003E-3</v>
      </c>
      <c r="D15" s="231">
        <f t="shared" si="1"/>
        <v>9.7000000000000003E-3</v>
      </c>
      <c r="E15" s="111"/>
      <c r="F15" s="111"/>
      <c r="G15" s="227"/>
      <c r="H15" s="113"/>
      <c r="Q15" s="131"/>
    </row>
    <row r="16" spans="1:22">
      <c r="A16" s="93" t="s">
        <v>58</v>
      </c>
      <c r="B16" s="83"/>
      <c r="C16" s="20">
        <v>1.1000000000000001E-3</v>
      </c>
      <c r="D16" s="22">
        <f t="shared" si="1"/>
        <v>1.1000000000000001E-3</v>
      </c>
      <c r="E16" s="111"/>
      <c r="F16" s="111"/>
      <c r="G16" s="227"/>
      <c r="H16" s="113"/>
      <c r="L16" s="62"/>
      <c r="M16" s="62"/>
      <c r="N16" s="62"/>
      <c r="O16" s="62"/>
      <c r="P16" s="62"/>
      <c r="Q16" s="131"/>
      <c r="R16" s="62"/>
      <c r="S16" s="62"/>
    </row>
    <row r="17" spans="1:19">
      <c r="A17" s="220" t="s">
        <v>59</v>
      </c>
      <c r="B17" s="347"/>
      <c r="C17" s="347"/>
      <c r="D17" s="130"/>
      <c r="E17" s="111"/>
      <c r="F17" s="111"/>
      <c r="G17" s="112"/>
      <c r="H17" s="113"/>
      <c r="L17" s="62"/>
      <c r="M17" s="62"/>
      <c r="N17" s="62"/>
      <c r="O17" s="62"/>
      <c r="P17" s="62"/>
      <c r="Q17" s="131"/>
      <c r="R17" s="62"/>
      <c r="S17" s="62"/>
    </row>
    <row r="18" spans="1:19">
      <c r="A18" s="85"/>
      <c r="B18" s="86"/>
      <c r="C18" s="86"/>
      <c r="D18" s="130"/>
      <c r="E18" s="111"/>
      <c r="F18" s="111"/>
      <c r="G18" s="112"/>
      <c r="H18" s="113"/>
      <c r="L18" s="62"/>
      <c r="M18" s="62"/>
      <c r="N18" s="62"/>
      <c r="O18" s="62"/>
      <c r="P18" s="62"/>
      <c r="Q18" s="131"/>
      <c r="R18" s="62"/>
      <c r="S18" s="62"/>
    </row>
    <row r="19" spans="1:19">
      <c r="A19" s="59" t="s">
        <v>72</v>
      </c>
      <c r="B19" s="111"/>
      <c r="C19" s="111"/>
      <c r="D19" s="111"/>
      <c r="E19" s="111"/>
      <c r="F19" s="111"/>
      <c r="G19" s="112"/>
      <c r="H19" s="113"/>
      <c r="I19" s="368"/>
      <c r="J19" s="94"/>
    </row>
    <row r="20" spans="1:19" ht="18" customHeight="1">
      <c r="A20" s="21" t="s">
        <v>2</v>
      </c>
      <c r="B20" s="19">
        <v>2019</v>
      </c>
      <c r="C20" s="19">
        <v>2020</v>
      </c>
      <c r="D20" s="19">
        <v>2021</v>
      </c>
      <c r="E20" s="19">
        <v>2022</v>
      </c>
      <c r="F20" s="19">
        <v>2023</v>
      </c>
      <c r="G20" s="19">
        <v>2024</v>
      </c>
      <c r="H20" s="17" t="s">
        <v>8</v>
      </c>
      <c r="I20" s="90"/>
      <c r="J20" s="227"/>
      <c r="K20" s="323"/>
    </row>
    <row r="21" spans="1:19">
      <c r="A21" s="361" t="s">
        <v>73</v>
      </c>
      <c r="B21" s="73">
        <f>'[3]2_rinka_duomenys'!C130/1000000</f>
        <v>55.209199957704328</v>
      </c>
      <c r="C21" s="73">
        <f>'[3]2_rinka_duomenys'!D130/1000000</f>
        <v>55.334933999999997</v>
      </c>
      <c r="D21" s="73">
        <f>'[3]2_rinka_duomenys'!E130/1000000</f>
        <v>52.171793999999998</v>
      </c>
      <c r="E21" s="73">
        <f>'[3]2_rinka_duomenys'!F130/1000000</f>
        <v>32.268456</v>
      </c>
      <c r="F21" s="73">
        <f>'[3]2_rinka_duomenys'!G130/1000000</f>
        <v>27.2242</v>
      </c>
      <c r="G21" s="68">
        <v>25.66</v>
      </c>
      <c r="H21" s="74">
        <f t="shared" si="0"/>
        <v>-5.7456233791993869E-2</v>
      </c>
      <c r="I21" s="369"/>
      <c r="J21" s="227"/>
      <c r="L21" s="261"/>
      <c r="M21" s="261"/>
      <c r="N21" s="261"/>
      <c r="O21" s="261"/>
      <c r="P21" s="261"/>
      <c r="Q21" s="261"/>
    </row>
    <row r="22" spans="1:19">
      <c r="A22" s="370" t="s">
        <v>74</v>
      </c>
      <c r="B22" s="73">
        <v>748.39267099999995</v>
      </c>
      <c r="C22" s="73">
        <v>704.06729499999994</v>
      </c>
      <c r="D22" s="73">
        <v>990.76284699999997</v>
      </c>
      <c r="E22" s="73">
        <v>971.15444300000001</v>
      </c>
      <c r="F22" s="73">
        <v>802.20299999999997</v>
      </c>
      <c r="G22" s="226">
        <v>360.49599999999998</v>
      </c>
      <c r="H22" s="74">
        <f t="shared" si="0"/>
        <v>-0.55061748709491243</v>
      </c>
      <c r="I22" s="369"/>
      <c r="J22" s="227"/>
      <c r="L22" s="371"/>
      <c r="M22" s="371"/>
      <c r="N22" s="371"/>
      <c r="O22" s="371"/>
      <c r="P22" s="371"/>
      <c r="Q22" s="371"/>
    </row>
    <row r="23" spans="1:19" s="62" customFormat="1">
      <c r="A23" s="320"/>
      <c r="B23" s="372"/>
      <c r="C23" s="372"/>
      <c r="D23" s="372"/>
      <c r="E23" s="372"/>
      <c r="F23" s="372"/>
      <c r="G23" s="372"/>
      <c r="H23" s="372"/>
      <c r="I23" s="1"/>
      <c r="J23" s="1"/>
      <c r="K23" s="1"/>
      <c r="L23" s="1"/>
      <c r="M23" s="1"/>
      <c r="N23" s="1"/>
      <c r="O23" s="1"/>
      <c r="P23" s="1"/>
      <c r="Q23" s="6"/>
      <c r="R23" s="1"/>
      <c r="S23" s="1"/>
    </row>
    <row r="24" spans="1:19">
      <c r="A24" s="321" t="s">
        <v>75</v>
      </c>
      <c r="B24" s="373"/>
      <c r="C24" s="373"/>
      <c r="D24" s="373"/>
      <c r="E24" s="373"/>
      <c r="F24" s="373"/>
      <c r="G24" s="373"/>
      <c r="H24" s="373"/>
    </row>
    <row r="35" spans="1:9">
      <c r="I35" s="10"/>
    </row>
    <row r="36" spans="1:9">
      <c r="I36" s="10"/>
    </row>
    <row r="37" spans="1:9">
      <c r="I37" s="10"/>
    </row>
    <row r="38" spans="1:9">
      <c r="I38" s="10"/>
    </row>
    <row r="39" spans="1:9">
      <c r="I39" s="10"/>
    </row>
    <row r="40" spans="1:9">
      <c r="I40" s="10"/>
    </row>
    <row r="46" spans="1:9">
      <c r="A46" s="13"/>
    </row>
  </sheetData>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6454-198A-45A7-A25C-A92CC278D50E}">
  <dimension ref="A1:Q37"/>
  <sheetViews>
    <sheetView showGridLines="0" zoomScaleNormal="100" workbookViewId="0">
      <selection activeCell="A26" sqref="A26"/>
    </sheetView>
  </sheetViews>
  <sheetFormatPr defaultColWidth="8.7265625" defaultRowHeight="14.75"/>
  <cols>
    <col min="1" max="1" width="47.40625" style="1" customWidth="1"/>
    <col min="2" max="5" width="14.1328125" style="1" bestFit="1" customWidth="1"/>
    <col min="6" max="6" width="16.40625" style="1" bestFit="1" customWidth="1"/>
    <col min="7" max="7" width="14" style="1" bestFit="1" customWidth="1"/>
    <col min="8" max="8" width="16.54296875" style="1" customWidth="1"/>
    <col min="9" max="10" width="9" style="1" bestFit="1" customWidth="1"/>
    <col min="11" max="11" width="14.86328125" style="1" bestFit="1" customWidth="1"/>
    <col min="12" max="12" width="28.54296875" style="1" bestFit="1" customWidth="1"/>
    <col min="13" max="13" width="21.86328125" style="1" bestFit="1" customWidth="1"/>
    <col min="14" max="16" width="13.86328125" style="1" bestFit="1" customWidth="1"/>
    <col min="17" max="17" width="15.1328125" style="6" bestFit="1" customWidth="1"/>
    <col min="18" max="18" width="10.1328125" style="1" bestFit="1" customWidth="1"/>
    <col min="19" max="20" width="8.7265625" style="1"/>
    <col min="21" max="21" width="15.26953125" style="1" customWidth="1"/>
    <col min="22" max="22" width="16.1328125" style="1" customWidth="1"/>
    <col min="23" max="23" width="16.1328125" style="1" bestFit="1" customWidth="1"/>
    <col min="24" max="16384" width="8.7265625" style="1"/>
  </cols>
  <sheetData>
    <row r="1" spans="1:17" s="222" customFormat="1">
      <c r="A1" s="221" t="s">
        <v>76</v>
      </c>
      <c r="Q1" s="223"/>
    </row>
    <row r="3" spans="1:17">
      <c r="A3" s="59" t="s">
        <v>77</v>
      </c>
      <c r="J3" s="161"/>
    </row>
    <row r="4" spans="1:17" ht="29.5">
      <c r="A4" s="18" t="s">
        <v>2</v>
      </c>
      <c r="B4" s="19">
        <v>2019</v>
      </c>
      <c r="C4" s="19">
        <v>2020</v>
      </c>
      <c r="D4" s="19">
        <v>2021</v>
      </c>
      <c r="E4" s="19">
        <v>2022</v>
      </c>
      <c r="F4" s="19">
        <v>2023</v>
      </c>
      <c r="G4" s="19">
        <v>2024</v>
      </c>
      <c r="H4" s="17" t="s">
        <v>8</v>
      </c>
      <c r="J4" s="227"/>
    </row>
    <row r="5" spans="1:17">
      <c r="A5" s="374" t="s">
        <v>78</v>
      </c>
      <c r="B5" s="362">
        <f>'[3]2_rinka_duomenys'!C111/1000000</f>
        <v>479.41892899999999</v>
      </c>
      <c r="C5" s="362">
        <f>'[3]2_rinka_duomenys'!D111/1000000</f>
        <v>259.99535600000002</v>
      </c>
      <c r="D5" s="362">
        <f>'[3]2_rinka_duomenys'!E111/1000000</f>
        <v>301.34794099999999</v>
      </c>
      <c r="E5" s="362">
        <f>'[3]2_rinka_duomenys'!F111/1000000</f>
        <v>432.62653399999999</v>
      </c>
      <c r="F5" s="362">
        <f>'[3]2_rinka_duomenys'!G111/1000000</f>
        <v>464.11397799999997</v>
      </c>
      <c r="G5" s="363">
        <f>G6+G7</f>
        <v>539.72977700000001</v>
      </c>
      <c r="H5" s="364">
        <f>((G5/F5*100)-100)/100</f>
        <v>0.16292506277412741</v>
      </c>
      <c r="I5" s="130"/>
      <c r="J5" s="227"/>
    </row>
    <row r="6" spans="1:17">
      <c r="A6" s="375" t="s">
        <v>68</v>
      </c>
      <c r="B6" s="73">
        <f>'[3]2_rinka_duomenys'!C113/1000000</f>
        <v>340.78911499999998</v>
      </c>
      <c r="C6" s="73">
        <f>'[3]2_rinka_duomenys'!D113/1000000</f>
        <v>234.128861</v>
      </c>
      <c r="D6" s="73">
        <f>'[3]2_rinka_duomenys'!E113/1000000</f>
        <v>259.410843</v>
      </c>
      <c r="E6" s="73">
        <f>'[3]2_rinka_duomenys'!F113/1000000</f>
        <v>381.39432799999997</v>
      </c>
      <c r="F6" s="73">
        <f>'[3]2_rinka_duomenys'!G113/1000000</f>
        <v>384.121354</v>
      </c>
      <c r="G6" s="226">
        <v>420.56027799999998</v>
      </c>
      <c r="H6" s="74">
        <f>((G6/F6*100)-100)/100</f>
        <v>9.4863052055158617E-2</v>
      </c>
      <c r="I6" s="130"/>
      <c r="J6" s="227"/>
    </row>
    <row r="7" spans="1:17">
      <c r="A7" s="375" t="s">
        <v>69</v>
      </c>
      <c r="B7" s="73">
        <f>'[3]2_rinka_duomenys'!C114/1000000</f>
        <v>138.62981400000001</v>
      </c>
      <c r="C7" s="73">
        <f>'[3]2_rinka_duomenys'!D114/1000000</f>
        <v>25.866495</v>
      </c>
      <c r="D7" s="73">
        <f>'[3]2_rinka_duomenys'!E114/1000000</f>
        <v>41.937097999999999</v>
      </c>
      <c r="E7" s="73">
        <f>'[3]2_rinka_duomenys'!F114/1000000</f>
        <v>51.232205999999998</v>
      </c>
      <c r="F7" s="73">
        <f>'[3]2_rinka_duomenys'!G114/1000000</f>
        <v>79.992624000000006</v>
      </c>
      <c r="G7" s="242">
        <v>119.169499</v>
      </c>
      <c r="H7" s="74">
        <f t="shared" ref="H7:H8" si="0">((G7/F7*100)-100)/100</f>
        <v>0.48975609301177569</v>
      </c>
      <c r="I7" s="130"/>
      <c r="J7" s="227"/>
    </row>
    <row r="8" spans="1:17">
      <c r="A8" s="376" t="s">
        <v>79</v>
      </c>
      <c r="B8" s="67">
        <f>'[3]2_rinka_duomenys'!C115/1000000</f>
        <v>120.86799999999999</v>
      </c>
      <c r="C8" s="67">
        <f>'[3]2_rinka_duomenys'!D115/1000000</f>
        <v>22.969293</v>
      </c>
      <c r="D8" s="67">
        <f>'[3]2_rinka_duomenys'!E115/1000000</f>
        <v>41.937097999999999</v>
      </c>
      <c r="E8" s="67">
        <f>'[3]2_rinka_duomenys'!F115/1000000</f>
        <v>50.790830999999997</v>
      </c>
      <c r="F8" s="67">
        <f>'[3]2_rinka_duomenys'!G115/1000000</f>
        <v>72.602000000000004</v>
      </c>
      <c r="G8" s="16">
        <v>95.912040000000005</v>
      </c>
      <c r="H8" s="20">
        <f t="shared" si="0"/>
        <v>0.3210660863337097</v>
      </c>
      <c r="I8" s="130"/>
      <c r="J8" s="227"/>
    </row>
    <row r="9" spans="1:17">
      <c r="I9" s="130"/>
    </row>
    <row r="10" spans="1:17">
      <c r="A10" s="84" t="s">
        <v>80</v>
      </c>
      <c r="B10" s="114"/>
      <c r="C10" s="114"/>
      <c r="D10" s="114"/>
      <c r="E10" s="114"/>
      <c r="F10" s="114"/>
      <c r="G10" s="115"/>
      <c r="H10" s="116"/>
      <c r="I10" s="130"/>
    </row>
    <row r="11" spans="1:17" ht="20.25" customHeight="1">
      <c r="A11" s="18" t="s">
        <v>2</v>
      </c>
      <c r="B11" s="19">
        <v>2019</v>
      </c>
      <c r="C11" s="19">
        <v>2020</v>
      </c>
      <c r="D11" s="19">
        <v>2021</v>
      </c>
      <c r="E11" s="19">
        <v>2022</v>
      </c>
      <c r="F11" s="19">
        <v>2023</v>
      </c>
      <c r="G11" s="19">
        <v>2024</v>
      </c>
      <c r="H11" s="17" t="s">
        <v>8</v>
      </c>
      <c r="I11" s="130"/>
      <c r="J11" s="90"/>
    </row>
    <row r="12" spans="1:17">
      <c r="A12" s="377" t="s">
        <v>81</v>
      </c>
      <c r="B12" s="351">
        <f>'[3]2_rinka_duomenys'!C132/1000000</f>
        <v>5.5158950000000004</v>
      </c>
      <c r="C12" s="351">
        <f>'[3]2_rinka_duomenys'!D132/1000000</f>
        <v>3.3376649999999999</v>
      </c>
      <c r="D12" s="351">
        <f>'[3]2_rinka_duomenys'!E132/1000000</f>
        <v>3.4829569999999999</v>
      </c>
      <c r="E12" s="351">
        <f>'[3]2_rinka_duomenys'!F132/1000000</f>
        <v>4.6881919999999999</v>
      </c>
      <c r="F12" s="351">
        <f>'[3]2_rinka_duomenys'!G132/1000000</f>
        <v>5.0390829999999998</v>
      </c>
      <c r="G12" s="358">
        <v>5.5364719999999998</v>
      </c>
      <c r="H12" s="353">
        <f>((G12/F12*100)-100)/100</f>
        <v>9.8706252705105302E-2</v>
      </c>
      <c r="I12" s="130"/>
      <c r="J12" s="90"/>
    </row>
    <row r="13" spans="1:17">
      <c r="A13" s="117"/>
      <c r="B13" s="118"/>
      <c r="C13" s="118"/>
      <c r="D13" s="118"/>
      <c r="E13" s="118"/>
      <c r="F13" s="118"/>
      <c r="G13" s="117"/>
      <c r="H13" s="119"/>
    </row>
    <row r="14" spans="1:17">
      <c r="A14" s="117"/>
      <c r="B14" s="118"/>
      <c r="C14" s="118"/>
      <c r="D14" s="118"/>
      <c r="E14" s="118"/>
      <c r="F14" s="118"/>
      <c r="G14" s="117"/>
      <c r="H14" s="119"/>
    </row>
    <row r="15" spans="1:17">
      <c r="A15" s="117"/>
      <c r="B15" s="118"/>
      <c r="C15" s="118"/>
      <c r="D15" s="118"/>
      <c r="E15" s="118"/>
      <c r="F15" s="118"/>
      <c r="G15" s="117"/>
      <c r="H15" s="119"/>
    </row>
    <row r="17" spans="4:9">
      <c r="D17" s="2"/>
    </row>
    <row r="18" spans="4:9">
      <c r="F18" s="2"/>
    </row>
    <row r="26" spans="4:9">
      <c r="I26" s="10"/>
    </row>
    <row r="27" spans="4:9">
      <c r="I27" s="10"/>
    </row>
    <row r="28" spans="4:9">
      <c r="I28" s="10"/>
    </row>
    <row r="29" spans="4:9">
      <c r="I29" s="10"/>
    </row>
    <row r="30" spans="4:9">
      <c r="I30" s="10"/>
    </row>
    <row r="31" spans="4:9">
      <c r="I31" s="10"/>
    </row>
    <row r="37" spans="1:1">
      <c r="A37" s="13"/>
    </row>
  </sheetData>
  <pageMargins left="0.7" right="0.7" top="0.75" bottom="0.75" header="0.3" footer="0.3"/>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A283-9D5F-4D4B-A356-A6902F1F8F5E}">
  <dimension ref="A1:T29"/>
  <sheetViews>
    <sheetView showGridLines="0" topLeftCell="A10" zoomScale="80" zoomScaleNormal="80" workbookViewId="0">
      <selection activeCell="A24" sqref="A24"/>
    </sheetView>
  </sheetViews>
  <sheetFormatPr defaultColWidth="8.7265625" defaultRowHeight="14.75"/>
  <cols>
    <col min="1" max="1" width="60.54296875" style="1" customWidth="1"/>
    <col min="2" max="4" width="15.86328125" style="1" bestFit="1" customWidth="1"/>
    <col min="5" max="7" width="14.86328125" style="1" bestFit="1" customWidth="1"/>
    <col min="8" max="8" width="18" style="1" customWidth="1"/>
    <col min="9" max="9" width="8.7265625" style="1"/>
    <col min="10" max="10" width="16.7265625" style="1" customWidth="1"/>
    <col min="11" max="11" width="15.54296875" style="1" customWidth="1"/>
    <col min="12" max="12" width="15.40625" style="1" bestFit="1" customWidth="1"/>
    <col min="13" max="16384" width="8.7265625" style="1"/>
  </cols>
  <sheetData>
    <row r="1" spans="1:20" s="222" customFormat="1">
      <c r="A1" s="221" t="s">
        <v>82</v>
      </c>
    </row>
    <row r="3" spans="1:20">
      <c r="A3" s="59" t="s">
        <v>83</v>
      </c>
      <c r="J3" s="234"/>
      <c r="K3" s="15"/>
    </row>
    <row r="4" spans="1:20">
      <c r="A4" s="18" t="s">
        <v>2</v>
      </c>
      <c r="B4" s="19">
        <v>2019</v>
      </c>
      <c r="C4" s="19">
        <v>2020</v>
      </c>
      <c r="D4" s="19">
        <v>2021</v>
      </c>
      <c r="E4" s="19">
        <v>2022</v>
      </c>
      <c r="F4" s="19">
        <v>2023</v>
      </c>
      <c r="G4" s="19">
        <v>2024</v>
      </c>
      <c r="H4" s="17" t="s">
        <v>8</v>
      </c>
      <c r="J4" s="101"/>
      <c r="K4" s="15"/>
    </row>
    <row r="5" spans="1:20">
      <c r="A5" s="232" t="s">
        <v>84</v>
      </c>
      <c r="B5" s="378">
        <f>B6+B10</f>
        <v>6267</v>
      </c>
      <c r="C5" s="268">
        <f>C6+C10</f>
        <v>6141</v>
      </c>
      <c r="D5" s="268">
        <f>D6+D10</f>
        <v>6381</v>
      </c>
      <c r="E5" s="268">
        <f>E6+E10</f>
        <v>5019</v>
      </c>
      <c r="F5" s="268">
        <f>F6+F10</f>
        <v>4816</v>
      </c>
      <c r="G5" s="270">
        <f t="shared" ref="G5" si="0">G6+G10+G13</f>
        <v>5776.6</v>
      </c>
      <c r="H5" s="379">
        <f>(G5/F5*100-100)/100</f>
        <v>0.19946013289036557</v>
      </c>
      <c r="I5" s="130"/>
      <c r="J5" s="234"/>
      <c r="K5" s="15"/>
    </row>
    <row r="6" spans="1:20">
      <c r="A6" s="380" t="s">
        <v>85</v>
      </c>
      <c r="B6" s="274">
        <v>3092</v>
      </c>
      <c r="C6" s="274">
        <v>2963</v>
      </c>
      <c r="D6" s="274">
        <v>3420</v>
      </c>
      <c r="E6" s="274">
        <v>2566</v>
      </c>
      <c r="F6" s="274">
        <v>2398</v>
      </c>
      <c r="G6" s="274">
        <v>2528</v>
      </c>
      <c r="H6" s="381">
        <f>(G6/F6*100-100)/100</f>
        <v>5.4211843202668746E-2</v>
      </c>
      <c r="I6" s="130"/>
    </row>
    <row r="7" spans="1:20">
      <c r="A7" s="382" t="s">
        <v>86</v>
      </c>
      <c r="B7" s="270">
        <f>B6*32/100</f>
        <v>989.44</v>
      </c>
      <c r="C7" s="270">
        <f>C6*37/100</f>
        <v>1096.31</v>
      </c>
      <c r="D7" s="270">
        <f>D6*30.8/100</f>
        <v>1053.3599999999999</v>
      </c>
      <c r="E7" s="270">
        <f>E6*28.9/100</f>
        <v>741.57399999999996</v>
      </c>
      <c r="F7" s="268">
        <v>749</v>
      </c>
      <c r="G7" s="268">
        <v>711</v>
      </c>
      <c r="H7" s="379">
        <f t="shared" ref="H7:H12" si="1">(G7/F7*100-100)/100</f>
        <v>-5.0734312416555412E-2</v>
      </c>
      <c r="I7" s="130"/>
    </row>
    <row r="8" spans="1:20">
      <c r="A8" s="382" t="s">
        <v>87</v>
      </c>
      <c r="B8" s="270">
        <f>B6*68/100</f>
        <v>2102.56</v>
      </c>
      <c r="C8" s="270">
        <f>C6*63/100</f>
        <v>1866.69</v>
      </c>
      <c r="D8" s="270">
        <f>D6*69.2/100</f>
        <v>2366.64</v>
      </c>
      <c r="E8" s="270">
        <f>E6*71.1/100</f>
        <v>1824.4259999999997</v>
      </c>
      <c r="F8" s="268">
        <v>1669</v>
      </c>
      <c r="G8" s="268">
        <v>1817</v>
      </c>
      <c r="H8" s="379">
        <f t="shared" si="1"/>
        <v>8.8675853804673466E-2</v>
      </c>
      <c r="I8" s="130"/>
    </row>
    <row r="9" spans="1:20">
      <c r="A9" s="350" t="s">
        <v>88</v>
      </c>
      <c r="B9" s="383">
        <v>693</v>
      </c>
      <c r="C9" s="383">
        <v>703</v>
      </c>
      <c r="D9" s="383">
        <v>632</v>
      </c>
      <c r="E9" s="383">
        <f>'[4]Apibendrinta vežėjų indormacija'!I105</f>
        <v>522</v>
      </c>
      <c r="F9" s="384">
        <f>'[5]4f'!I39</f>
        <v>506.75</v>
      </c>
      <c r="G9" s="384">
        <v>551</v>
      </c>
      <c r="H9" s="379">
        <f t="shared" si="1"/>
        <v>8.7321164282190444E-2</v>
      </c>
      <c r="I9" s="130"/>
    </row>
    <row r="10" spans="1:20" ht="29.5">
      <c r="A10" s="380" t="s">
        <v>89</v>
      </c>
      <c r="B10" s="274">
        <v>3175</v>
      </c>
      <c r="C10" s="274">
        <v>3178</v>
      </c>
      <c r="D10" s="274">
        <v>2961</v>
      </c>
      <c r="E10" s="274">
        <v>2453</v>
      </c>
      <c r="F10" s="274">
        <v>2418</v>
      </c>
      <c r="G10" s="274">
        <v>2353</v>
      </c>
      <c r="H10" s="381">
        <f t="shared" si="1"/>
        <v>-2.688172043010752E-2</v>
      </c>
      <c r="I10" s="130"/>
      <c r="J10" s="99"/>
      <c r="L10" s="90"/>
      <c r="M10" s="90"/>
      <c r="N10" s="323"/>
    </row>
    <row r="11" spans="1:20">
      <c r="A11" s="382" t="s">
        <v>86</v>
      </c>
      <c r="B11" s="270">
        <f>B10*30/100</f>
        <v>952.5</v>
      </c>
      <c r="C11" s="270">
        <f>C10*29/100</f>
        <v>921.62</v>
      </c>
      <c r="D11" s="270">
        <f>D10*31/100</f>
        <v>917.91</v>
      </c>
      <c r="E11" s="270">
        <f>F10*31/100</f>
        <v>749.58</v>
      </c>
      <c r="F11" s="270">
        <f>G10*31/100</f>
        <v>729.43</v>
      </c>
      <c r="G11" s="268">
        <v>735</v>
      </c>
      <c r="H11" s="379">
        <f t="shared" si="1"/>
        <v>7.636099420095235E-3</v>
      </c>
      <c r="I11" s="130"/>
      <c r="L11" s="90"/>
      <c r="M11" s="90"/>
    </row>
    <row r="12" spans="1:20">
      <c r="A12" s="382" t="s">
        <v>87</v>
      </c>
      <c r="B12" s="270">
        <f>B10*70/100</f>
        <v>2222.5</v>
      </c>
      <c r="C12" s="270">
        <f>C10*71/100</f>
        <v>2256.38</v>
      </c>
      <c r="D12" s="270">
        <f>D10*69/100</f>
        <v>2043.09</v>
      </c>
      <c r="E12" s="270">
        <f>F10*69/100</f>
        <v>1668.42</v>
      </c>
      <c r="F12" s="270">
        <f>G10*69/100</f>
        <v>1623.57</v>
      </c>
      <c r="G12" s="268">
        <v>1618</v>
      </c>
      <c r="H12" s="379">
        <f t="shared" si="1"/>
        <v>-3.4307113336659255E-3</v>
      </c>
      <c r="I12" s="130"/>
      <c r="L12" s="90"/>
      <c r="M12" s="90"/>
    </row>
    <row r="13" spans="1:20" ht="29.5">
      <c r="A13" s="233" t="s">
        <v>90</v>
      </c>
      <c r="B13" s="385" t="s">
        <v>16</v>
      </c>
      <c r="C13" s="385" t="s">
        <v>16</v>
      </c>
      <c r="D13" s="385" t="s">
        <v>16</v>
      </c>
      <c r="E13" s="385" t="s">
        <v>16</v>
      </c>
      <c r="F13" s="385">
        <v>31</v>
      </c>
      <c r="G13" s="285">
        <v>895.6</v>
      </c>
      <c r="H13" s="386" t="s">
        <v>16</v>
      </c>
      <c r="I13" s="130"/>
      <c r="J13" s="96"/>
      <c r="L13" s="90"/>
      <c r="M13" s="90"/>
    </row>
    <row r="14" spans="1:20" s="62" customFormat="1">
      <c r="A14" s="220" t="s">
        <v>91</v>
      </c>
      <c r="B14" s="143"/>
      <c r="F14" s="143"/>
      <c r="G14" s="143"/>
      <c r="H14" s="143"/>
      <c r="I14" s="130"/>
      <c r="J14" s="143"/>
      <c r="K14" s="143"/>
      <c r="L14" s="143"/>
      <c r="M14" s="143"/>
      <c r="N14" s="143"/>
      <c r="O14" s="143"/>
      <c r="P14" s="143"/>
      <c r="Q14" s="143"/>
      <c r="R14" s="143"/>
      <c r="S14" s="143"/>
      <c r="T14" s="143"/>
    </row>
    <row r="15" spans="1:20">
      <c r="I15" s="130"/>
      <c r="L15" s="90"/>
      <c r="M15" s="90"/>
    </row>
    <row r="16" spans="1:20">
      <c r="A16" s="59" t="s">
        <v>92</v>
      </c>
      <c r="I16" s="130"/>
      <c r="J16" s="234"/>
      <c r="L16" s="90"/>
      <c r="M16" s="90"/>
    </row>
    <row r="17" spans="1:13">
      <c r="A17" s="18" t="s">
        <v>2</v>
      </c>
      <c r="B17" s="17">
        <v>2019</v>
      </c>
      <c r="C17" s="17">
        <v>2020</v>
      </c>
      <c r="D17" s="17">
        <v>2021</v>
      </c>
      <c r="E17" s="17">
        <v>2022</v>
      </c>
      <c r="F17" s="17">
        <v>2023</v>
      </c>
      <c r="G17" s="17">
        <v>2024</v>
      </c>
      <c r="H17" s="17" t="s">
        <v>8</v>
      </c>
      <c r="I17" s="130"/>
      <c r="J17" s="234"/>
      <c r="L17" s="90"/>
      <c r="M17" s="90"/>
    </row>
    <row r="18" spans="1:13">
      <c r="A18" s="380" t="s">
        <v>93</v>
      </c>
      <c r="B18" s="387">
        <v>3092</v>
      </c>
      <c r="C18" s="387">
        <v>2963</v>
      </c>
      <c r="D18" s="387">
        <v>3420</v>
      </c>
      <c r="E18" s="387">
        <v>2566</v>
      </c>
      <c r="F18" s="387">
        <v>2398</v>
      </c>
      <c r="G18" s="387">
        <v>2528</v>
      </c>
      <c r="H18" s="388">
        <v>5.4211843202668746E-2</v>
      </c>
      <c r="I18" s="130"/>
      <c r="J18" s="234"/>
      <c r="L18" s="90"/>
      <c r="M18" s="90"/>
    </row>
    <row r="19" spans="1:13">
      <c r="A19" s="389" t="s">
        <v>94</v>
      </c>
      <c r="B19" s="387">
        <v>710</v>
      </c>
      <c r="C19" s="387">
        <v>675</v>
      </c>
      <c r="D19" s="387">
        <v>595</v>
      </c>
      <c r="E19" s="387">
        <v>582</v>
      </c>
      <c r="F19" s="387">
        <v>593</v>
      </c>
      <c r="G19" s="387">
        <v>633</v>
      </c>
      <c r="H19" s="388">
        <v>6.7453625632377626E-2</v>
      </c>
      <c r="I19" s="130"/>
      <c r="L19" s="90"/>
      <c r="M19" s="90"/>
    </row>
    <row r="20" spans="1:13">
      <c r="A20" s="390" t="s">
        <v>95</v>
      </c>
      <c r="B20" s="391">
        <v>0.22962483829236743</v>
      </c>
      <c r="C20" s="391">
        <v>0.22780965237934525</v>
      </c>
      <c r="D20" s="391">
        <v>0.17397660818713451</v>
      </c>
      <c r="E20" s="391">
        <v>0.22681215900233828</v>
      </c>
      <c r="F20" s="391">
        <v>0.24728940783986655</v>
      </c>
      <c r="G20" s="391">
        <v>0.25039556962025317</v>
      </c>
      <c r="H20" s="391">
        <v>1.2560836339573455E-2</v>
      </c>
      <c r="I20" s="130"/>
      <c r="L20" s="90"/>
      <c r="M20" s="90"/>
    </row>
    <row r="21" spans="1:13">
      <c r="A21" s="389" t="s">
        <v>96</v>
      </c>
      <c r="B21" s="387">
        <v>2382</v>
      </c>
      <c r="C21" s="387">
        <v>2288</v>
      </c>
      <c r="D21" s="387">
        <v>2825</v>
      </c>
      <c r="E21" s="387">
        <v>1984</v>
      </c>
      <c r="F21" s="387">
        <v>1805</v>
      </c>
      <c r="G21" s="387">
        <v>1895</v>
      </c>
      <c r="H21" s="388">
        <v>4.9861495844875349E-2</v>
      </c>
      <c r="I21" s="130"/>
    </row>
    <row r="22" spans="1:13">
      <c r="A22" s="390" t="s">
        <v>97</v>
      </c>
      <c r="B22" s="391">
        <v>0.77037516170763265</v>
      </c>
      <c r="C22" s="391">
        <v>0.77219034762065475</v>
      </c>
      <c r="D22" s="391">
        <v>0.82602339181286555</v>
      </c>
      <c r="E22" s="391">
        <v>0.77318784099766158</v>
      </c>
      <c r="F22" s="391">
        <v>0.75271059216013336</v>
      </c>
      <c r="G22" s="391">
        <v>0.74960443037974689</v>
      </c>
      <c r="H22" s="391">
        <v>-4.1266348749954317E-3</v>
      </c>
      <c r="I22" s="130"/>
    </row>
    <row r="23" spans="1:13">
      <c r="A23" s="392"/>
      <c r="B23" s="393"/>
      <c r="C23" s="393"/>
      <c r="D23" s="393"/>
      <c r="E23" s="393"/>
      <c r="F23" s="393"/>
      <c r="G23" s="393"/>
      <c r="H23" s="393"/>
      <c r="I23" s="130"/>
    </row>
    <row r="24" spans="1:13">
      <c r="A24" s="59" t="s">
        <v>98</v>
      </c>
      <c r="B24" s="394"/>
      <c r="C24" s="394"/>
      <c r="D24" s="394"/>
      <c r="E24" s="394"/>
      <c r="F24" s="394"/>
      <c r="G24" s="394"/>
      <c r="H24" s="394"/>
      <c r="I24" s="130"/>
      <c r="J24" s="234"/>
    </row>
    <row r="25" spans="1:13">
      <c r="A25" s="18" t="s">
        <v>2</v>
      </c>
      <c r="B25" s="17">
        <v>2019</v>
      </c>
      <c r="C25" s="17">
        <v>2020</v>
      </c>
      <c r="D25" s="17">
        <v>2021</v>
      </c>
      <c r="E25" s="17">
        <v>2022</v>
      </c>
      <c r="F25" s="17">
        <v>2023</v>
      </c>
      <c r="G25" s="17">
        <v>2024</v>
      </c>
      <c r="H25" s="17" t="s">
        <v>8</v>
      </c>
      <c r="I25" s="130"/>
      <c r="J25" s="234"/>
    </row>
    <row r="26" spans="1:13">
      <c r="A26" s="275" t="s">
        <v>99</v>
      </c>
      <c r="B26" s="276">
        <v>16191224147</v>
      </c>
      <c r="C26" s="276">
        <v>15877258776</v>
      </c>
      <c r="D26" s="276">
        <v>14578955313</v>
      </c>
      <c r="E26" s="276">
        <v>7415686899</v>
      </c>
      <c r="F26" s="276">
        <v>6395399857</v>
      </c>
      <c r="G26" s="276">
        <v>6241006941.4899998</v>
      </c>
      <c r="H26" s="388">
        <f>((G26/F26*100)-100)/100</f>
        <v>-2.4141245107764747E-2</v>
      </c>
      <c r="I26" s="130"/>
      <c r="J26" s="234"/>
    </row>
    <row r="27" spans="1:13" ht="29.5">
      <c r="A27" s="390" t="s">
        <v>100</v>
      </c>
      <c r="B27" s="235">
        <v>6.7973233194794291</v>
      </c>
      <c r="C27" s="235">
        <v>6.9393731538461543</v>
      </c>
      <c r="D27" s="235">
        <v>5.1606921461946902</v>
      </c>
      <c r="E27" s="235">
        <v>3.7377454128024192</v>
      </c>
      <c r="F27" s="235">
        <v>3.5431578155124654</v>
      </c>
      <c r="G27" s="29">
        <v>3.29</v>
      </c>
      <c r="H27" s="236">
        <v>-7.1449771275810287E-2</v>
      </c>
      <c r="I27" s="130"/>
      <c r="J27" s="234"/>
    </row>
    <row r="28" spans="1:13">
      <c r="A28" s="323"/>
    </row>
    <row r="29" spans="1:13">
      <c r="A29" s="14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501F5-D80C-47F0-9B1C-FC07DA84C65E}">
  <dimension ref="A1:AD76"/>
  <sheetViews>
    <sheetView showGridLines="0" zoomScale="90" zoomScaleNormal="90" workbookViewId="0">
      <selection activeCell="J67" sqref="J67"/>
    </sheetView>
  </sheetViews>
  <sheetFormatPr defaultColWidth="8.7265625" defaultRowHeight="14.75"/>
  <cols>
    <col min="1" max="1" width="60.7265625" style="1" customWidth="1"/>
    <col min="2" max="3" width="13.26953125" style="1" bestFit="1" customWidth="1"/>
    <col min="4" max="4" width="8.26953125" style="1" bestFit="1" customWidth="1"/>
    <col min="5" max="5" width="10.40625" style="1" bestFit="1" customWidth="1"/>
    <col min="6" max="7" width="8.26953125" style="1" bestFit="1" customWidth="1"/>
    <col min="8" max="8" width="17.1328125" style="1" bestFit="1" customWidth="1"/>
    <col min="9" max="9" width="21.86328125" style="1" customWidth="1"/>
    <col min="10" max="11" width="8.7265625" style="1"/>
    <col min="12" max="12" width="24.7265625" style="1" customWidth="1"/>
    <col min="13" max="13" width="8.7265625" style="1"/>
    <col min="14" max="14" width="14.54296875" style="1" customWidth="1"/>
    <col min="15" max="15" width="8.7265625" style="1"/>
    <col min="16" max="16" width="13.54296875" style="1" bestFit="1" customWidth="1"/>
    <col min="17" max="16384" width="8.7265625" style="1"/>
  </cols>
  <sheetData>
    <row r="1" spans="1:12" s="222" customFormat="1">
      <c r="A1" s="221" t="s">
        <v>101</v>
      </c>
    </row>
    <row r="3" spans="1:12">
      <c r="A3" s="59" t="s">
        <v>102</v>
      </c>
      <c r="I3" s="97"/>
      <c r="L3" s="100"/>
    </row>
    <row r="4" spans="1:12" ht="29.5">
      <c r="A4" s="148" t="s">
        <v>2</v>
      </c>
      <c r="B4" s="132">
        <v>2019</v>
      </c>
      <c r="C4" s="132">
        <v>2020</v>
      </c>
      <c r="D4" s="132">
        <v>2021</v>
      </c>
      <c r="E4" s="132">
        <v>2022</v>
      </c>
      <c r="F4" s="132">
        <v>2023</v>
      </c>
      <c r="G4" s="132">
        <v>2024</v>
      </c>
      <c r="H4" s="66" t="s">
        <v>8</v>
      </c>
    </row>
    <row r="5" spans="1:12">
      <c r="A5" s="395" t="s">
        <v>103</v>
      </c>
      <c r="B5" s="378">
        <v>1.1000000000000001E-3</v>
      </c>
      <c r="C5" s="378">
        <v>1.1999999999999999E-3</v>
      </c>
      <c r="D5" s="378">
        <v>1.4E-3</v>
      </c>
      <c r="E5" s="378">
        <v>1.1000000000000001E-3</v>
      </c>
      <c r="F5" s="378">
        <v>1.1999999999999999E-3</v>
      </c>
      <c r="G5" s="378">
        <v>1.1999999999999999E-3</v>
      </c>
      <c r="H5" s="396">
        <f>((G5/F5*100)-100)/100</f>
        <v>0</v>
      </c>
      <c r="I5" s="94"/>
    </row>
    <row r="6" spans="1:12">
      <c r="A6" s="395" t="s">
        <v>104</v>
      </c>
      <c r="B6" s="378">
        <v>0.27339999999999998</v>
      </c>
      <c r="C6" s="378">
        <v>0.31030000000000002</v>
      </c>
      <c r="D6" s="378">
        <v>0.31790000000000002</v>
      </c>
      <c r="E6" s="378">
        <v>0.27339999999999998</v>
      </c>
      <c r="F6" s="378">
        <v>0.31030000000000002</v>
      </c>
      <c r="G6" s="397">
        <v>0.29799999999999999</v>
      </c>
      <c r="H6" s="396">
        <f>((G6/F6*100)-100)/100</f>
        <v>-3.9639058975185437E-2</v>
      </c>
      <c r="I6" s="292"/>
    </row>
    <row r="7" spans="1:12">
      <c r="A7" s="423" t="s">
        <v>105</v>
      </c>
      <c r="B7" s="423"/>
      <c r="C7" s="423"/>
      <c r="D7" s="423"/>
      <c r="E7" s="423"/>
      <c r="F7" s="423"/>
      <c r="G7" s="423"/>
      <c r="H7" s="423"/>
      <c r="I7" s="94"/>
    </row>
    <row r="8" spans="1:12" customFormat="1" ht="29.5">
      <c r="A8" s="398" t="s">
        <v>106</v>
      </c>
      <c r="B8" s="399">
        <v>0</v>
      </c>
      <c r="C8" s="349">
        <v>1.1000000000000001E-3</v>
      </c>
      <c r="D8" s="349">
        <v>1E-4</v>
      </c>
      <c r="E8" s="400">
        <v>0</v>
      </c>
      <c r="F8" s="400">
        <v>0</v>
      </c>
      <c r="G8" s="349" t="s">
        <v>16</v>
      </c>
      <c r="H8" s="349" t="s">
        <v>16</v>
      </c>
      <c r="I8" s="94"/>
      <c r="J8" s="1"/>
      <c r="K8" s="125"/>
      <c r="L8" s="125"/>
    </row>
    <row r="9" spans="1:12" customFormat="1" ht="15.75">
      <c r="A9" s="398" t="s">
        <v>107</v>
      </c>
      <c r="B9" s="349">
        <v>2.2700000000000001E-2</v>
      </c>
      <c r="C9" s="349">
        <v>2.1499999999999998E-2</v>
      </c>
      <c r="D9" s="349">
        <v>2.3199999999999998E-2</v>
      </c>
      <c r="E9" s="397">
        <v>2.1899999999999999E-2</v>
      </c>
      <c r="F9" s="397">
        <v>2.0899999999999998E-2</v>
      </c>
      <c r="G9" s="349" t="s">
        <v>16</v>
      </c>
      <c r="H9" s="349" t="s">
        <v>16</v>
      </c>
      <c r="I9" s="94"/>
      <c r="J9" s="1"/>
      <c r="K9" s="125"/>
      <c r="L9" s="125"/>
    </row>
    <row r="10" spans="1:12" customFormat="1" ht="15.75">
      <c r="A10" s="398" t="s">
        <v>108</v>
      </c>
      <c r="B10" s="349">
        <v>5.5999999999999999E-3</v>
      </c>
      <c r="C10" s="349">
        <v>5.1000000000000004E-3</v>
      </c>
      <c r="D10" s="349">
        <v>1.5E-3</v>
      </c>
      <c r="E10" s="397">
        <v>3.5000000000000001E-3</v>
      </c>
      <c r="F10" s="397">
        <v>3.3999999999999998E-3</v>
      </c>
      <c r="G10" s="349" t="s">
        <v>16</v>
      </c>
      <c r="H10" s="349" t="s">
        <v>16</v>
      </c>
      <c r="I10" s="94"/>
      <c r="J10" s="1"/>
      <c r="K10" s="125"/>
      <c r="L10" s="125"/>
    </row>
    <row r="11" spans="1:12" customFormat="1" ht="15.75">
      <c r="A11" s="398" t="s">
        <v>109</v>
      </c>
      <c r="B11" s="349">
        <v>7.4999999999999997E-3</v>
      </c>
      <c r="C11" s="349">
        <v>7.1000000000000004E-3</v>
      </c>
      <c r="D11" s="349">
        <v>3.7000000000000002E-3</v>
      </c>
      <c r="E11" s="397">
        <v>6.8999999999999999E-3</v>
      </c>
      <c r="F11" s="397">
        <v>6.7000000000000002E-3</v>
      </c>
      <c r="G11" s="349" t="s">
        <v>16</v>
      </c>
      <c r="H11" s="349" t="s">
        <v>16</v>
      </c>
      <c r="I11" s="94"/>
      <c r="J11" s="1"/>
      <c r="K11" s="125"/>
      <c r="L11" s="125"/>
    </row>
    <row r="12" spans="1:12" customFormat="1" ht="15.75" customHeight="1">
      <c r="A12" s="424" t="s">
        <v>110</v>
      </c>
      <c r="B12" s="424"/>
      <c r="C12" s="424"/>
      <c r="D12" s="424"/>
      <c r="E12" s="424"/>
      <c r="F12" s="424"/>
      <c r="G12" s="424"/>
      <c r="H12" s="424"/>
      <c r="I12" s="94"/>
      <c r="J12" s="123"/>
      <c r="K12" s="123"/>
      <c r="L12" s="125"/>
    </row>
    <row r="13" spans="1:12" customFormat="1" ht="15.75">
      <c r="A13" s="425" t="s">
        <v>111</v>
      </c>
      <c r="B13" s="426"/>
      <c r="C13" s="426"/>
      <c r="D13" s="426"/>
      <c r="E13" s="426"/>
      <c r="F13" s="426"/>
      <c r="G13" s="426"/>
      <c r="H13" s="427"/>
      <c r="I13" s="94"/>
      <c r="J13" s="123"/>
      <c r="K13" s="123"/>
      <c r="L13" s="125"/>
    </row>
    <row r="14" spans="1:12" customFormat="1" ht="15.75" customHeight="1">
      <c r="A14" s="401" t="s">
        <v>112</v>
      </c>
      <c r="B14" s="349" t="s">
        <v>16</v>
      </c>
      <c r="C14" s="349" t="s">
        <v>16</v>
      </c>
      <c r="D14" s="349" t="s">
        <v>16</v>
      </c>
      <c r="E14" s="349" t="s">
        <v>16</v>
      </c>
      <c r="F14" s="349" t="s">
        <v>16</v>
      </c>
      <c r="G14" s="349">
        <v>2.0999999999999999E-3</v>
      </c>
      <c r="H14" s="349" t="s">
        <v>16</v>
      </c>
      <c r="I14" s="94"/>
      <c r="J14" s="123"/>
      <c r="K14" s="123"/>
      <c r="L14" s="125"/>
    </row>
    <row r="15" spans="1:12" customFormat="1" ht="15.75" customHeight="1">
      <c r="A15" s="402" t="s">
        <v>113</v>
      </c>
      <c r="B15" s="349" t="s">
        <v>16</v>
      </c>
      <c r="C15" s="349" t="s">
        <v>16</v>
      </c>
      <c r="D15" s="349" t="s">
        <v>16</v>
      </c>
      <c r="E15" s="349" t="s">
        <v>16</v>
      </c>
      <c r="F15" s="349" t="s">
        <v>16</v>
      </c>
      <c r="G15" s="397">
        <v>1.1000000000000001E-3</v>
      </c>
      <c r="H15" s="349" t="s">
        <v>16</v>
      </c>
      <c r="I15" s="94"/>
      <c r="J15" s="123"/>
      <c r="K15" s="123"/>
      <c r="L15" s="125"/>
    </row>
    <row r="16" spans="1:12" ht="15.75">
      <c r="A16" s="425" t="s">
        <v>114</v>
      </c>
      <c r="B16" s="426"/>
      <c r="C16" s="426"/>
      <c r="D16" s="426"/>
      <c r="E16" s="426"/>
      <c r="F16" s="426"/>
      <c r="G16" s="426"/>
      <c r="H16" s="427"/>
      <c r="I16" s="94"/>
      <c r="J16" s="122"/>
      <c r="L16" s="125"/>
    </row>
    <row r="17" spans="1:12" ht="15.75">
      <c r="A17" s="401" t="s">
        <v>112</v>
      </c>
      <c r="B17" s="349" t="s">
        <v>16</v>
      </c>
      <c r="C17" s="349" t="s">
        <v>16</v>
      </c>
      <c r="D17" s="349" t="s">
        <v>16</v>
      </c>
      <c r="E17" s="349" t="s">
        <v>16</v>
      </c>
      <c r="F17" s="349" t="s">
        <v>16</v>
      </c>
      <c r="G17" s="403">
        <v>3.5000000000000001E-3</v>
      </c>
      <c r="H17" s="349" t="s">
        <v>16</v>
      </c>
      <c r="I17" s="94"/>
      <c r="J17" s="122"/>
      <c r="L17" s="125"/>
    </row>
    <row r="18" spans="1:12" ht="15.75">
      <c r="A18" s="402" t="s">
        <v>113</v>
      </c>
      <c r="B18" s="349" t="s">
        <v>16</v>
      </c>
      <c r="C18" s="349" t="s">
        <v>16</v>
      </c>
      <c r="D18" s="349" t="s">
        <v>16</v>
      </c>
      <c r="E18" s="349" t="s">
        <v>16</v>
      </c>
      <c r="F18" s="349" t="s">
        <v>16</v>
      </c>
      <c r="G18" s="403">
        <v>1.6999999999999999E-3</v>
      </c>
      <c r="H18" s="349" t="s">
        <v>16</v>
      </c>
      <c r="I18" s="94"/>
      <c r="J18" s="122"/>
      <c r="L18" s="125"/>
    </row>
    <row r="19" spans="1:12" ht="15.75">
      <c r="A19" s="425" t="s">
        <v>115</v>
      </c>
      <c r="B19" s="426"/>
      <c r="C19" s="426"/>
      <c r="D19" s="426"/>
      <c r="E19" s="426"/>
      <c r="F19" s="426"/>
      <c r="G19" s="426"/>
      <c r="H19" s="427"/>
      <c r="I19" s="94"/>
      <c r="J19" s="122"/>
      <c r="L19" s="125"/>
    </row>
    <row r="20" spans="1:12" ht="15.75">
      <c r="A20" s="401" t="s">
        <v>112</v>
      </c>
      <c r="B20" s="349" t="s">
        <v>16</v>
      </c>
      <c r="C20" s="349" t="s">
        <v>16</v>
      </c>
      <c r="D20" s="349" t="s">
        <v>16</v>
      </c>
      <c r="E20" s="349" t="s">
        <v>16</v>
      </c>
      <c r="F20" s="349" t="s">
        <v>16</v>
      </c>
      <c r="G20" s="403">
        <v>1.7899999999999999E-2</v>
      </c>
      <c r="H20" s="349" t="s">
        <v>16</v>
      </c>
      <c r="I20" s="94"/>
      <c r="J20" s="122"/>
      <c r="L20" s="125"/>
    </row>
    <row r="21" spans="1:12" ht="15.75">
      <c r="A21" s="402" t="s">
        <v>113</v>
      </c>
      <c r="B21" s="349" t="s">
        <v>16</v>
      </c>
      <c r="C21" s="349" t="s">
        <v>16</v>
      </c>
      <c r="D21" s="349" t="s">
        <v>16</v>
      </c>
      <c r="E21" s="349" t="s">
        <v>16</v>
      </c>
      <c r="F21" s="349" t="s">
        <v>16</v>
      </c>
      <c r="G21" s="403">
        <v>2.1899999999999999E-2</v>
      </c>
      <c r="H21" s="349" t="s">
        <v>16</v>
      </c>
      <c r="I21" s="94"/>
      <c r="J21" s="122"/>
      <c r="L21" s="125"/>
    </row>
    <row r="22" spans="1:12" ht="15.75">
      <c r="A22" s="425" t="s">
        <v>116</v>
      </c>
      <c r="B22" s="426"/>
      <c r="C22" s="426"/>
      <c r="D22" s="426"/>
      <c r="E22" s="426"/>
      <c r="F22" s="426"/>
      <c r="G22" s="426"/>
      <c r="H22" s="427"/>
      <c r="I22" s="94"/>
      <c r="J22" s="122"/>
      <c r="L22" s="126"/>
    </row>
    <row r="23" spans="1:12" ht="15.75">
      <c r="A23" s="401" t="s">
        <v>112</v>
      </c>
      <c r="B23" s="349" t="s">
        <v>16</v>
      </c>
      <c r="C23" s="349" t="s">
        <v>16</v>
      </c>
      <c r="D23" s="349" t="s">
        <v>16</v>
      </c>
      <c r="E23" s="349" t="s">
        <v>16</v>
      </c>
      <c r="F23" s="349" t="s">
        <v>16</v>
      </c>
      <c r="G23" s="403">
        <v>7.4999999999999997E-3</v>
      </c>
      <c r="H23" s="349" t="s">
        <v>16</v>
      </c>
      <c r="I23" s="94"/>
      <c r="J23" s="122"/>
      <c r="L23" s="126"/>
    </row>
    <row r="24" spans="1:12" ht="15.75">
      <c r="A24" s="402" t="s">
        <v>113</v>
      </c>
      <c r="B24" s="349" t="s">
        <v>16</v>
      </c>
      <c r="C24" s="349" t="s">
        <v>16</v>
      </c>
      <c r="D24" s="349" t="s">
        <v>16</v>
      </c>
      <c r="E24" s="349" t="s">
        <v>16</v>
      </c>
      <c r="F24" s="349" t="s">
        <v>16</v>
      </c>
      <c r="G24" s="404">
        <v>1.4999999999999999E-2</v>
      </c>
      <c r="H24" s="349" t="s">
        <v>16</v>
      </c>
      <c r="I24" s="94"/>
      <c r="J24" s="122"/>
      <c r="L24" s="126"/>
    </row>
    <row r="25" spans="1:12" ht="15.75">
      <c r="A25" s="425" t="s">
        <v>117</v>
      </c>
      <c r="B25" s="426"/>
      <c r="C25" s="426"/>
      <c r="D25" s="426"/>
      <c r="E25" s="426"/>
      <c r="F25" s="426"/>
      <c r="G25" s="426"/>
      <c r="H25" s="427"/>
      <c r="I25" s="94"/>
      <c r="J25" s="122"/>
      <c r="L25" s="125"/>
    </row>
    <row r="26" spans="1:12" ht="15.75">
      <c r="A26" s="401" t="s">
        <v>112</v>
      </c>
      <c r="B26" s="349" t="s">
        <v>16</v>
      </c>
      <c r="C26" s="349" t="s">
        <v>16</v>
      </c>
      <c r="D26" s="349" t="s">
        <v>16</v>
      </c>
      <c r="E26" s="349" t="s">
        <v>16</v>
      </c>
      <c r="F26" s="349" t="s">
        <v>16</v>
      </c>
      <c r="G26" s="403">
        <v>5.0000000000000001E-4</v>
      </c>
      <c r="H26" s="349" t="s">
        <v>16</v>
      </c>
      <c r="I26" s="94"/>
      <c r="J26" s="122"/>
      <c r="L26" s="125"/>
    </row>
    <row r="27" spans="1:12" ht="15.75">
      <c r="A27" s="402" t="s">
        <v>113</v>
      </c>
      <c r="B27" s="349" t="s">
        <v>16</v>
      </c>
      <c r="C27" s="349" t="s">
        <v>16</v>
      </c>
      <c r="D27" s="349" t="s">
        <v>16</v>
      </c>
      <c r="E27" s="349" t="s">
        <v>16</v>
      </c>
      <c r="F27" s="349" t="s">
        <v>16</v>
      </c>
      <c r="G27" s="403">
        <v>5.9999999999999995E-4</v>
      </c>
      <c r="H27" s="349" t="s">
        <v>16</v>
      </c>
      <c r="I27" s="94"/>
      <c r="J27" s="122"/>
      <c r="L27" s="125"/>
    </row>
    <row r="28" spans="1:12" ht="15.75">
      <c r="A28" s="425" t="s">
        <v>118</v>
      </c>
      <c r="B28" s="426"/>
      <c r="C28" s="426"/>
      <c r="D28" s="426"/>
      <c r="E28" s="426"/>
      <c r="F28" s="426"/>
      <c r="G28" s="426"/>
      <c r="H28" s="427"/>
      <c r="I28" s="94"/>
      <c r="J28" s="122"/>
      <c r="L28" s="125"/>
    </row>
    <row r="29" spans="1:12" ht="15.75">
      <c r="A29" s="401" t="s">
        <v>112</v>
      </c>
      <c r="B29" s="349" t="s">
        <v>16</v>
      </c>
      <c r="C29" s="349" t="s">
        <v>16</v>
      </c>
      <c r="D29" s="349" t="s">
        <v>16</v>
      </c>
      <c r="E29" s="349" t="s">
        <v>16</v>
      </c>
      <c r="F29" s="349" t="s">
        <v>16</v>
      </c>
      <c r="G29" s="403">
        <v>4.1000000000000003E-3</v>
      </c>
      <c r="H29" s="349" t="s">
        <v>16</v>
      </c>
      <c r="I29" s="94"/>
      <c r="J29" s="122"/>
      <c r="L29" s="125"/>
    </row>
    <row r="30" spans="1:12" ht="15.75">
      <c r="A30" s="402" t="s">
        <v>113</v>
      </c>
      <c r="B30" s="349" t="s">
        <v>16</v>
      </c>
      <c r="C30" s="349" t="s">
        <v>16</v>
      </c>
      <c r="D30" s="349" t="s">
        <v>16</v>
      </c>
      <c r="E30" s="349" t="s">
        <v>16</v>
      </c>
      <c r="F30" s="349" t="s">
        <v>16</v>
      </c>
      <c r="G30" s="403">
        <v>4.4999999999999997E-3</v>
      </c>
      <c r="H30" s="349" t="s">
        <v>16</v>
      </c>
      <c r="I30" s="94"/>
      <c r="J30" s="122"/>
      <c r="L30" s="125"/>
    </row>
    <row r="31" spans="1:12" ht="15.75">
      <c r="A31" s="425" t="s">
        <v>119</v>
      </c>
      <c r="B31" s="426"/>
      <c r="C31" s="426"/>
      <c r="D31" s="426"/>
      <c r="E31" s="426"/>
      <c r="F31" s="426"/>
      <c r="G31" s="426"/>
      <c r="H31" s="427"/>
      <c r="I31" s="94"/>
      <c r="J31" s="122"/>
      <c r="L31" s="126"/>
    </row>
    <row r="32" spans="1:12" ht="15.75">
      <c r="A32" s="401" t="s">
        <v>112</v>
      </c>
      <c r="B32" s="349" t="s">
        <v>16</v>
      </c>
      <c r="C32" s="349" t="s">
        <v>16</v>
      </c>
      <c r="D32" s="349" t="s">
        <v>16</v>
      </c>
      <c r="E32" s="349" t="s">
        <v>16</v>
      </c>
      <c r="F32" s="349" t="s">
        <v>16</v>
      </c>
      <c r="G32" s="404">
        <v>5.0000000000000001E-3</v>
      </c>
      <c r="H32" s="349" t="s">
        <v>16</v>
      </c>
      <c r="I32" s="94"/>
      <c r="J32" s="122"/>
      <c r="L32" s="126"/>
    </row>
    <row r="33" spans="1:30" ht="15.75">
      <c r="A33" s="402" t="s">
        <v>113</v>
      </c>
      <c r="B33" s="349" t="s">
        <v>16</v>
      </c>
      <c r="C33" s="349" t="s">
        <v>16</v>
      </c>
      <c r="D33" s="349" t="s">
        <v>16</v>
      </c>
      <c r="E33" s="349" t="s">
        <v>16</v>
      </c>
      <c r="F33" s="349" t="s">
        <v>16</v>
      </c>
      <c r="G33" s="403">
        <v>1.5E-3</v>
      </c>
      <c r="H33" s="349" t="s">
        <v>16</v>
      </c>
      <c r="I33" s="94"/>
      <c r="J33" s="122"/>
      <c r="L33" s="126"/>
    </row>
    <row r="34" spans="1:30" ht="15.75">
      <c r="A34" s="425" t="s">
        <v>120</v>
      </c>
      <c r="B34" s="426"/>
      <c r="C34" s="426"/>
      <c r="D34" s="426"/>
      <c r="E34" s="426"/>
      <c r="F34" s="426"/>
      <c r="G34" s="426"/>
      <c r="H34" s="427"/>
      <c r="I34" s="94"/>
      <c r="J34" s="122"/>
      <c r="L34" s="125"/>
    </row>
    <row r="35" spans="1:30" ht="15.75">
      <c r="A35" s="401" t="s">
        <v>112</v>
      </c>
      <c r="B35" s="349" t="s">
        <v>16</v>
      </c>
      <c r="C35" s="349" t="s">
        <v>16</v>
      </c>
      <c r="D35" s="349" t="s">
        <v>16</v>
      </c>
      <c r="E35" s="349" t="s">
        <v>16</v>
      </c>
      <c r="F35" s="349" t="s">
        <v>16</v>
      </c>
      <c r="G35" s="403">
        <v>7.7999999999999996E-3</v>
      </c>
      <c r="H35" s="349" t="s">
        <v>16</v>
      </c>
      <c r="I35" s="94"/>
      <c r="J35" s="122"/>
      <c r="L35" s="125"/>
    </row>
    <row r="36" spans="1:30" ht="15.75">
      <c r="A36" s="402" t="s">
        <v>113</v>
      </c>
      <c r="B36" s="349" t="s">
        <v>16</v>
      </c>
      <c r="C36" s="349" t="s">
        <v>16</v>
      </c>
      <c r="D36" s="349" t="s">
        <v>16</v>
      </c>
      <c r="E36" s="349" t="s">
        <v>16</v>
      </c>
      <c r="F36" s="349" t="s">
        <v>16</v>
      </c>
      <c r="G36" s="403">
        <v>7.7999999999999996E-3</v>
      </c>
      <c r="H36" s="349" t="s">
        <v>16</v>
      </c>
      <c r="I36" s="94"/>
      <c r="J36" s="122"/>
      <c r="L36" s="125"/>
    </row>
    <row r="37" spans="1:30" ht="44.25">
      <c r="A37" s="405" t="s">
        <v>121</v>
      </c>
      <c r="B37" s="385" t="s">
        <v>16</v>
      </c>
      <c r="C37" s="385" t="s">
        <v>16</v>
      </c>
      <c r="D37" s="385" t="s">
        <v>16</v>
      </c>
      <c r="E37" s="385" t="s">
        <v>16</v>
      </c>
      <c r="F37" s="385" t="s">
        <v>16</v>
      </c>
      <c r="G37" s="406">
        <v>1.03E-2</v>
      </c>
      <c r="H37" s="385" t="s">
        <v>16</v>
      </c>
      <c r="I37" s="292"/>
      <c r="J37" s="122"/>
      <c r="L37" s="125"/>
    </row>
    <row r="38" spans="1:30" ht="15.75">
      <c r="A38" s="407"/>
      <c r="B38" s="407"/>
      <c r="C38" s="407"/>
      <c r="D38" s="407"/>
      <c r="E38" s="407"/>
      <c r="F38" s="407"/>
      <c r="G38" s="408"/>
      <c r="H38" s="407"/>
      <c r="I38" s="292"/>
      <c r="J38" s="122"/>
      <c r="L38" s="125"/>
    </row>
    <row r="39" spans="1:30">
      <c r="A39" s="59" t="s">
        <v>122</v>
      </c>
      <c r="I39" s="292"/>
    </row>
    <row r="40" spans="1:30">
      <c r="A40" s="24" t="s">
        <v>2</v>
      </c>
      <c r="B40" s="26">
        <v>2019</v>
      </c>
      <c r="C40" s="26">
        <v>2020</v>
      </c>
      <c r="D40" s="26">
        <v>2021</v>
      </c>
      <c r="E40" s="26">
        <v>2022</v>
      </c>
      <c r="F40" s="26">
        <v>2023</v>
      </c>
      <c r="G40" s="26">
        <v>2024</v>
      </c>
      <c r="H40" s="25" t="s">
        <v>8</v>
      </c>
      <c r="I40" s="292"/>
      <c r="M40" s="99"/>
      <c r="N40" s="124"/>
      <c r="O40" s="124"/>
      <c r="P40" s="124"/>
      <c r="Q40" s="124"/>
      <c r="R40" s="124"/>
      <c r="S40" s="124"/>
      <c r="T40" s="124"/>
      <c r="U40" s="124"/>
      <c r="V40" s="124"/>
      <c r="W40" s="124"/>
      <c r="X40" s="124"/>
      <c r="Y40" s="124"/>
      <c r="Z40" s="124"/>
      <c r="AA40" s="124"/>
      <c r="AB40" s="124"/>
      <c r="AC40" s="124"/>
      <c r="AD40" s="124"/>
    </row>
    <row r="41" spans="1:30" ht="29.5">
      <c r="A41" s="150" t="s">
        <v>123</v>
      </c>
      <c r="B41" s="157">
        <f>'[4]lentelės ataskaitai'!F85</f>
        <v>202.52550299999999</v>
      </c>
      <c r="C41" s="157">
        <f>'[4]lentelės ataskaitai'!G85</f>
        <v>192.93812636999999</v>
      </c>
      <c r="D41" s="157">
        <f>'[4]lentelės ataskaitai'!H85</f>
        <v>163.88924900000001</v>
      </c>
      <c r="E41" s="157">
        <f>'[4]lentelės ataskaitai'!I85</f>
        <v>105.06</v>
      </c>
      <c r="F41" s="157">
        <v>92.8</v>
      </c>
      <c r="G41" s="157">
        <f>G42+G44</f>
        <v>94.938027989999995</v>
      </c>
      <c r="H41" s="269">
        <f>((G41/F41*100)-100)/100</f>
        <v>2.3039094719827631E-2</v>
      </c>
      <c r="I41" s="292"/>
      <c r="J41" s="90"/>
      <c r="M41" s="99"/>
      <c r="N41" s="124"/>
      <c r="O41" s="124"/>
      <c r="P41" s="124"/>
      <c r="Q41" s="124"/>
      <c r="R41" s="124"/>
      <c r="S41" s="124"/>
      <c r="T41" s="124"/>
      <c r="U41" s="124"/>
      <c r="V41" s="124"/>
      <c r="W41" s="124"/>
      <c r="X41" s="124"/>
      <c r="Y41" s="124"/>
      <c r="Z41" s="124"/>
      <c r="AA41" s="124"/>
      <c r="AB41" s="124"/>
      <c r="AC41" s="124"/>
      <c r="AD41" s="124"/>
    </row>
    <row r="42" spans="1:30">
      <c r="A42" s="238" t="s">
        <v>124</v>
      </c>
      <c r="B42" s="237">
        <f>'[4]lentelės ataskaitai'!F86</f>
        <v>4.031828</v>
      </c>
      <c r="C42" s="237">
        <f>'[4]lentelės ataskaitai'!G86</f>
        <v>2.5836993699999993</v>
      </c>
      <c r="D42" s="237">
        <f>'[4]lentelės ataskaitai'!H86</f>
        <v>3.1697449999999998</v>
      </c>
      <c r="E42" s="237">
        <f>'[4]lentelės ataskaitai'!I86</f>
        <v>3.08</v>
      </c>
      <c r="F42" s="237">
        <v>3.1</v>
      </c>
      <c r="G42" s="237">
        <v>4.6951770000000002</v>
      </c>
      <c r="H42" s="271">
        <f t="shared" ref="H42:H44" si="0">((G42/F42*100)-100)/100</f>
        <v>0.51457322580645182</v>
      </c>
      <c r="I42" s="292"/>
    </row>
    <row r="43" spans="1:30">
      <c r="A43" s="409" t="s">
        <v>125</v>
      </c>
      <c r="B43" s="267">
        <f t="shared" ref="B43:G43" si="1">B42/B41</f>
        <v>1.9907754531042939E-2</v>
      </c>
      <c r="C43" s="267">
        <f t="shared" si="1"/>
        <v>1.339133647978526E-2</v>
      </c>
      <c r="D43" s="267">
        <f t="shared" si="1"/>
        <v>1.9340774451898305E-2</v>
      </c>
      <c r="E43" s="267">
        <f t="shared" si="1"/>
        <v>2.9316581001332571E-2</v>
      </c>
      <c r="F43" s="267">
        <f t="shared" si="1"/>
        <v>3.3405172413793108E-2</v>
      </c>
      <c r="G43" s="267">
        <f t="shared" si="1"/>
        <v>4.9455177228818703E-2</v>
      </c>
      <c r="H43" s="267">
        <f>((G43/F43*100)-100)/100</f>
        <v>0.48046466026915313</v>
      </c>
      <c r="I43" s="292"/>
      <c r="O43" s="7"/>
    </row>
    <row r="44" spans="1:30">
      <c r="A44" s="239" t="s">
        <v>126</v>
      </c>
      <c r="B44" s="237">
        <f>'[4]lentelės ataskaitai'!F87</f>
        <v>198.493675</v>
      </c>
      <c r="C44" s="237">
        <f>'[4]lentelės ataskaitai'!G87</f>
        <v>190.35442699999999</v>
      </c>
      <c r="D44" s="237">
        <f>'[4]lentelės ataskaitai'!H87</f>
        <v>160.719504</v>
      </c>
      <c r="E44" s="237">
        <f>'[4]lentelės ataskaitai'!I87</f>
        <v>101.98</v>
      </c>
      <c r="F44" s="237">
        <v>89.7</v>
      </c>
      <c r="G44" s="237">
        <v>90.242850989999994</v>
      </c>
      <c r="H44" s="271">
        <f t="shared" si="0"/>
        <v>6.0518505016722204E-3</v>
      </c>
      <c r="I44" s="292"/>
    </row>
    <row r="45" spans="1:30">
      <c r="A45" s="410" t="s">
        <v>127</v>
      </c>
      <c r="B45" s="272">
        <f t="shared" ref="B45:G45" si="2">B44/B41</f>
        <v>0.98009224546895712</v>
      </c>
      <c r="C45" s="272">
        <f t="shared" si="2"/>
        <v>0.9866086635202147</v>
      </c>
      <c r="D45" s="272">
        <f t="shared" si="2"/>
        <v>0.9806592255481017</v>
      </c>
      <c r="E45" s="272">
        <f t="shared" si="2"/>
        <v>0.97068341899866739</v>
      </c>
      <c r="F45" s="272">
        <f t="shared" si="2"/>
        <v>0.96659482758620696</v>
      </c>
      <c r="G45" s="272">
        <f t="shared" si="2"/>
        <v>0.95054482277118124</v>
      </c>
      <c r="H45" s="267">
        <f>((G45/F45*100)-100)/100</f>
        <v>-1.6604687255678811E-2</v>
      </c>
      <c r="I45" s="292"/>
      <c r="O45" s="7"/>
    </row>
    <row r="47" spans="1:30">
      <c r="A47" s="59" t="s">
        <v>128</v>
      </c>
    </row>
    <row r="48" spans="1:30" ht="44.25">
      <c r="A48" s="24" t="s">
        <v>2</v>
      </c>
      <c r="B48" s="26">
        <v>2023</v>
      </c>
      <c r="C48" s="26">
        <v>2024</v>
      </c>
      <c r="D48" s="25" t="s">
        <v>8</v>
      </c>
      <c r="E48" s="120"/>
      <c r="I48" s="90"/>
      <c r="M48" s="124"/>
      <c r="N48" s="124"/>
      <c r="O48" s="124"/>
      <c r="P48" s="124"/>
      <c r="Q48" s="124"/>
      <c r="R48" s="124"/>
      <c r="S48" s="124"/>
      <c r="T48" s="124"/>
      <c r="U48" s="124"/>
      <c r="V48" s="124"/>
      <c r="W48" s="124"/>
      <c r="X48" s="124"/>
      <c r="Y48" s="124"/>
      <c r="Z48" s="124"/>
      <c r="AA48" s="124"/>
      <c r="AB48" s="124"/>
      <c r="AC48" s="124"/>
      <c r="AD48" s="124"/>
    </row>
    <row r="49" spans="1:30" ht="29.5">
      <c r="A49" s="150" t="s">
        <v>123</v>
      </c>
      <c r="B49" s="157">
        <v>92.8</v>
      </c>
      <c r="C49" s="157">
        <f>C50+C55</f>
        <v>94.938027989999995</v>
      </c>
      <c r="D49" s="269">
        <f>((C49/B49*100)-100)/100</f>
        <v>2.3039094719827631E-2</v>
      </c>
      <c r="E49" s="293"/>
      <c r="I49" s="90"/>
      <c r="M49" s="124"/>
      <c r="N49" s="124"/>
      <c r="O49" s="124"/>
      <c r="P49" s="124"/>
      <c r="Q49" s="124"/>
      <c r="R49" s="124"/>
      <c r="S49" s="124"/>
      <c r="T49" s="124"/>
      <c r="U49" s="124"/>
      <c r="V49" s="124"/>
      <c r="W49" s="124"/>
      <c r="X49" s="124"/>
      <c r="Y49" s="124"/>
      <c r="Z49" s="124"/>
      <c r="AA49" s="124"/>
      <c r="AB49" s="124"/>
      <c r="AC49" s="124"/>
      <c r="AD49" s="124"/>
    </row>
    <row r="50" spans="1:30">
      <c r="A50" s="243" t="s">
        <v>124</v>
      </c>
      <c r="B50" s="245">
        <v>3.0612740000000001</v>
      </c>
      <c r="C50" s="245">
        <v>4.6951770000000002</v>
      </c>
      <c r="D50" s="273">
        <f t="shared" ref="D50:D52" si="3">((C50/B50*100)-100)/100</f>
        <v>0.53373301442471333</v>
      </c>
      <c r="E50" s="293"/>
      <c r="F50" s="261"/>
      <c r="I50" s="90"/>
    </row>
    <row r="51" spans="1:30">
      <c r="A51" s="240" t="s">
        <v>129</v>
      </c>
      <c r="B51" s="157">
        <v>1.3883639999999999</v>
      </c>
      <c r="C51" s="157">
        <v>1.6171610000000001</v>
      </c>
      <c r="D51" s="269">
        <f t="shared" si="3"/>
        <v>0.16479611974957592</v>
      </c>
      <c r="E51" s="293"/>
      <c r="I51" s="90"/>
    </row>
    <row r="52" spans="1:30">
      <c r="A52" s="240" t="s">
        <v>130</v>
      </c>
      <c r="B52" s="157">
        <v>0.55842599999999998</v>
      </c>
      <c r="C52" s="157">
        <v>0.55330100000000004</v>
      </c>
      <c r="D52" s="269">
        <f t="shared" si="3"/>
        <v>-9.1775812730780608E-3</v>
      </c>
      <c r="E52" s="293"/>
      <c r="I52" s="90"/>
    </row>
    <row r="53" spans="1:30" ht="30" customHeight="1">
      <c r="A53" s="241" t="s">
        <v>131</v>
      </c>
      <c r="B53" s="157">
        <v>0</v>
      </c>
      <c r="C53" s="157">
        <v>0</v>
      </c>
      <c r="D53" s="269">
        <v>0</v>
      </c>
      <c r="E53" s="293"/>
      <c r="F53" s="94"/>
      <c r="I53" s="90"/>
    </row>
    <row r="54" spans="1:30">
      <c r="A54" s="240" t="s">
        <v>132</v>
      </c>
      <c r="B54" s="157">
        <v>1.114484</v>
      </c>
      <c r="C54" s="157">
        <v>2.524715</v>
      </c>
      <c r="D54" s="269">
        <f>((C54/B54*100)-100)/100</f>
        <v>1.2653667526855481</v>
      </c>
      <c r="E54" s="293"/>
      <c r="F54" s="90"/>
      <c r="I54" s="90"/>
    </row>
    <row r="55" spans="1:30">
      <c r="A55" s="244" t="s">
        <v>133</v>
      </c>
      <c r="B55" s="245">
        <v>89.725213170000004</v>
      </c>
      <c r="C55" s="245">
        <v>90.242850989999994</v>
      </c>
      <c r="D55" s="273">
        <f t="shared" ref="D55:D59" si="4">((C55/B55*100)-100)/100</f>
        <v>5.76914561372206E-3</v>
      </c>
      <c r="E55" s="293"/>
      <c r="F55" s="90"/>
      <c r="I55" s="90"/>
    </row>
    <row r="56" spans="1:30">
      <c r="A56" s="240" t="s">
        <v>129</v>
      </c>
      <c r="B56" s="157">
        <v>15.19979176</v>
      </c>
      <c r="C56" s="157">
        <v>14.89508412</v>
      </c>
      <c r="D56" s="269">
        <f t="shared" si="4"/>
        <v>-2.0046829904727587E-2</v>
      </c>
      <c r="E56" s="293"/>
      <c r="F56" s="90"/>
      <c r="G56" s="82"/>
      <c r="I56" s="90"/>
    </row>
    <row r="57" spans="1:30">
      <c r="A57" s="240" t="s">
        <v>130</v>
      </c>
      <c r="B57" s="157">
        <v>1.0092E-2</v>
      </c>
      <c r="C57" s="157">
        <v>7.8469999999999998E-3</v>
      </c>
      <c r="D57" s="269">
        <f t="shared" si="4"/>
        <v>-0.22245342845818469</v>
      </c>
      <c r="E57" s="293"/>
      <c r="F57" s="318"/>
      <c r="G57" s="82"/>
      <c r="I57" s="90"/>
      <c r="J57" s="9"/>
      <c r="K57" s="9"/>
      <c r="L57" s="9"/>
      <c r="M57" s="9"/>
      <c r="N57" s="9"/>
      <c r="O57" s="2"/>
    </row>
    <row r="58" spans="1:30" ht="30.75" customHeight="1">
      <c r="A58" s="241" t="s">
        <v>131</v>
      </c>
      <c r="B58" s="157">
        <v>61.328029409999999</v>
      </c>
      <c r="C58" s="157">
        <v>58.613257869999998</v>
      </c>
      <c r="D58" s="269">
        <f t="shared" si="4"/>
        <v>-4.4266407483122806E-2</v>
      </c>
      <c r="E58" s="293"/>
      <c r="F58" s="94"/>
      <c r="I58" s="90"/>
      <c r="J58" s="9"/>
      <c r="K58" s="9"/>
      <c r="L58" s="9"/>
      <c r="M58" s="9"/>
      <c r="N58" s="9"/>
      <c r="O58" s="2"/>
    </row>
    <row r="59" spans="1:30">
      <c r="A59" s="240" t="s">
        <v>132</v>
      </c>
      <c r="B59" s="157">
        <v>13.1873</v>
      </c>
      <c r="C59" s="157">
        <v>16.726655999999998</v>
      </c>
      <c r="D59" s="269">
        <f t="shared" si="4"/>
        <v>0.26839125522282786</v>
      </c>
      <c r="E59" s="293"/>
      <c r="F59" s="90"/>
      <c r="I59" s="90"/>
      <c r="O59" s="7"/>
    </row>
    <row r="60" spans="1:30">
      <c r="E60" s="121"/>
    </row>
    <row r="61" spans="1:30">
      <c r="A61" s="59" t="s">
        <v>134</v>
      </c>
    </row>
    <row r="62" spans="1:30" ht="29.5">
      <c r="A62" s="18" t="s">
        <v>135</v>
      </c>
      <c r="B62" s="19">
        <v>2019</v>
      </c>
      <c r="C62" s="19">
        <v>2020</v>
      </c>
      <c r="D62" s="19">
        <v>2021</v>
      </c>
      <c r="E62" s="19">
        <v>2022</v>
      </c>
      <c r="F62" s="19">
        <v>2023</v>
      </c>
      <c r="G62" s="278" t="s">
        <v>136</v>
      </c>
      <c r="H62" s="277" t="s">
        <v>8</v>
      </c>
      <c r="I62" s="135"/>
    </row>
    <row r="63" spans="1:30">
      <c r="A63" s="4" t="s">
        <v>137</v>
      </c>
      <c r="B63" s="27">
        <v>6.1999999999999998E-3</v>
      </c>
      <c r="C63" s="27">
        <v>6.1999999999999998E-3</v>
      </c>
      <c r="D63" s="27">
        <v>5.7000000000000002E-3</v>
      </c>
      <c r="E63" s="27">
        <v>6.6E-3</v>
      </c>
      <c r="F63" s="27">
        <v>6.7000000000000002E-3</v>
      </c>
      <c r="G63" s="279">
        <v>5.4999999999999997E-3</v>
      </c>
      <c r="H63" s="280">
        <f>((G63/F63*100)-100)/100</f>
        <v>-0.17910447761194034</v>
      </c>
      <c r="I63" s="130"/>
    </row>
    <row r="64" spans="1:30">
      <c r="A64" s="5" t="s">
        <v>138</v>
      </c>
      <c r="B64" s="27">
        <v>2.8E-3</v>
      </c>
      <c r="C64" s="27">
        <v>2.3999999999999998E-3</v>
      </c>
      <c r="D64" s="27">
        <v>2.7000000000000001E-3</v>
      </c>
      <c r="E64" s="27">
        <v>2.7000000000000001E-3</v>
      </c>
      <c r="F64" s="27">
        <v>2.7000000000000001E-3</v>
      </c>
      <c r="G64" s="279">
        <v>1.6000000000000001E-3</v>
      </c>
      <c r="H64" s="280">
        <f t="shared" ref="H64:H65" si="5">((G64/F64*100)-100)/100</f>
        <v>-0.4074074074074075</v>
      </c>
      <c r="I64" s="130"/>
    </row>
    <row r="65" spans="1:9">
      <c r="A65" s="5" t="s">
        <v>139</v>
      </c>
      <c r="B65" s="27">
        <v>6.3E-3</v>
      </c>
      <c r="C65" s="27">
        <v>6.3E-3</v>
      </c>
      <c r="D65" s="27">
        <v>5.7999999999999996E-3</v>
      </c>
      <c r="E65" s="27">
        <v>7.0000000000000001E-3</v>
      </c>
      <c r="F65" s="27">
        <v>7.1000000000000004E-3</v>
      </c>
      <c r="G65" s="279">
        <v>6.0000000000000001E-3</v>
      </c>
      <c r="H65" s="280">
        <f t="shared" si="5"/>
        <v>-0.1549295774647888</v>
      </c>
      <c r="I65" s="130"/>
    </row>
    <row r="66" spans="1:9">
      <c r="A66" s="323" t="s">
        <v>140</v>
      </c>
      <c r="B66" s="6"/>
      <c r="C66" s="6"/>
      <c r="D66" s="6"/>
      <c r="E66" s="6"/>
      <c r="F66" s="6"/>
      <c r="G66" s="6"/>
    </row>
    <row r="68" spans="1:9">
      <c r="A68" s="96"/>
      <c r="B68" s="96"/>
      <c r="C68" s="96"/>
      <c r="D68" s="96"/>
      <c r="E68" s="96"/>
      <c r="F68" s="96"/>
      <c r="G68" s="96"/>
      <c r="H68" s="96"/>
      <c r="I68" s="96"/>
    </row>
    <row r="69" spans="1:9">
      <c r="A69" s="256"/>
      <c r="B69" s="96"/>
      <c r="C69" s="96"/>
      <c r="D69" s="96"/>
      <c r="E69" s="96"/>
      <c r="F69" s="96"/>
      <c r="G69" s="96"/>
      <c r="H69" s="96"/>
      <c r="I69" s="96"/>
    </row>
    <row r="70" spans="1:9">
      <c r="A70" s="257"/>
      <c r="B70" s="258"/>
      <c r="C70" s="258"/>
      <c r="D70" s="258"/>
      <c r="E70" s="258"/>
      <c r="F70" s="258"/>
      <c r="G70" s="258"/>
      <c r="H70" s="96"/>
      <c r="I70" s="96"/>
    </row>
    <row r="71" spans="1:9">
      <c r="A71" s="259"/>
      <c r="B71" s="260"/>
      <c r="C71" s="260"/>
      <c r="D71" s="260"/>
      <c r="E71" s="260"/>
      <c r="F71" s="260"/>
      <c r="G71" s="260"/>
      <c r="H71" s="96"/>
      <c r="I71" s="96"/>
    </row>
    <row r="72" spans="1:9">
      <c r="A72" s="259"/>
      <c r="B72" s="260"/>
      <c r="C72" s="260"/>
      <c r="D72" s="260"/>
      <c r="E72" s="260"/>
      <c r="F72" s="260"/>
      <c r="G72" s="260"/>
      <c r="H72" s="96"/>
      <c r="I72" s="96"/>
    </row>
    <row r="73" spans="1:9">
      <c r="A73" s="96"/>
      <c r="B73" s="255"/>
      <c r="C73" s="255"/>
      <c r="D73" s="255"/>
      <c r="E73" s="255"/>
      <c r="F73" s="255"/>
      <c r="G73" s="255"/>
      <c r="H73" s="96"/>
      <c r="I73" s="96"/>
    </row>
    <row r="74" spans="1:9">
      <c r="A74" s="96"/>
      <c r="B74" s="96"/>
      <c r="C74" s="96"/>
      <c r="D74" s="96"/>
      <c r="E74" s="96"/>
      <c r="F74" s="96"/>
      <c r="G74" s="96"/>
      <c r="H74" s="96"/>
      <c r="I74" s="96"/>
    </row>
    <row r="75" spans="1:9">
      <c r="A75" s="96"/>
      <c r="B75" s="96"/>
      <c r="C75" s="96"/>
      <c r="D75" s="96"/>
      <c r="E75" s="96"/>
      <c r="F75" s="96"/>
      <c r="G75" s="96"/>
      <c r="H75" s="96"/>
      <c r="I75" s="96"/>
    </row>
    <row r="76" spans="1:9">
      <c r="A76" s="96"/>
      <c r="B76" s="96"/>
      <c r="C76" s="96"/>
      <c r="D76" s="96"/>
      <c r="E76" s="96"/>
      <c r="F76" s="96"/>
      <c r="G76" s="96"/>
      <c r="H76" s="96"/>
      <c r="I76" s="96"/>
    </row>
  </sheetData>
  <mergeCells count="10">
    <mergeCell ref="A22:H22"/>
    <mergeCell ref="A25:H25"/>
    <mergeCell ref="A34:H34"/>
    <mergeCell ref="A28:H28"/>
    <mergeCell ref="A31:H31"/>
    <mergeCell ref="A7:H7"/>
    <mergeCell ref="A12:H12"/>
    <mergeCell ref="A16:H16"/>
    <mergeCell ref="A13:H13"/>
    <mergeCell ref="A19:H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C0308-833C-4432-AB0E-F1648A825401}">
  <dimension ref="A1:P29"/>
  <sheetViews>
    <sheetView showGridLines="0" zoomScaleNormal="100" workbookViewId="0">
      <selection activeCell="G31" sqref="G31"/>
    </sheetView>
  </sheetViews>
  <sheetFormatPr defaultColWidth="8.7265625" defaultRowHeight="14.75"/>
  <cols>
    <col min="1" max="1" width="54.40625" style="1" customWidth="1"/>
    <col min="2" max="5" width="12.1328125" style="1" customWidth="1"/>
    <col min="6" max="6" width="16.40625" style="1" bestFit="1" customWidth="1"/>
    <col min="7" max="7" width="12.1328125" style="1" customWidth="1"/>
    <col min="8" max="8" width="19.26953125" style="1" customWidth="1"/>
    <col min="9" max="9" width="13.86328125" style="1" customWidth="1"/>
    <col min="10" max="10" width="8.86328125" style="1" bestFit="1" customWidth="1"/>
    <col min="11" max="11" width="7.26953125" style="1" customWidth="1"/>
    <col min="12" max="12" width="8.7265625" style="1" hidden="1" customWidth="1"/>
    <col min="13" max="13" width="19.40625" style="1" customWidth="1"/>
    <col min="14" max="15" width="12" style="1" bestFit="1" customWidth="1"/>
    <col min="16" max="16" width="10.26953125" style="1" bestFit="1" customWidth="1"/>
    <col min="17" max="16384" width="8.7265625" style="1"/>
  </cols>
  <sheetData>
    <row r="1" spans="1:13" s="222" customFormat="1">
      <c r="A1" s="304" t="s">
        <v>141</v>
      </c>
      <c r="B1" s="246"/>
      <c r="C1" s="246"/>
      <c r="D1" s="246"/>
      <c r="E1" s="246"/>
      <c r="F1" s="246"/>
      <c r="G1" s="246"/>
    </row>
    <row r="2" spans="1:13">
      <c r="A2" s="206"/>
      <c r="B2" s="7"/>
      <c r="C2" s="7"/>
      <c r="D2" s="7"/>
      <c r="E2" s="7"/>
      <c r="F2" s="7"/>
      <c r="G2" s="7"/>
    </row>
    <row r="3" spans="1:13">
      <c r="A3" s="309" t="s">
        <v>142</v>
      </c>
      <c r="B3" s="7"/>
      <c r="C3" s="7"/>
      <c r="D3" s="7"/>
      <c r="E3" s="7"/>
      <c r="F3" s="7"/>
      <c r="G3" s="7"/>
      <c r="M3" s="90"/>
    </row>
    <row r="4" spans="1:13">
      <c r="A4" s="149" t="s">
        <v>2</v>
      </c>
      <c r="B4" s="103">
        <v>2019</v>
      </c>
      <c r="C4" s="103">
        <v>2020</v>
      </c>
      <c r="D4" s="103">
        <v>2021</v>
      </c>
      <c r="E4" s="103">
        <v>2022</v>
      </c>
      <c r="F4" s="103">
        <v>2023</v>
      </c>
      <c r="G4" s="103" t="s">
        <v>136</v>
      </c>
      <c r="H4" s="17" t="s">
        <v>8</v>
      </c>
      <c r="M4" s="90"/>
    </row>
    <row r="5" spans="1:13">
      <c r="A5" s="411" t="s">
        <v>143</v>
      </c>
      <c r="B5" s="412">
        <f>SUM(B6:B7)</f>
        <v>203</v>
      </c>
      <c r="C5" s="412">
        <f>SUM(C6:C7)</f>
        <v>193</v>
      </c>
      <c r="D5" s="412">
        <f>SUM(D6:D7)</f>
        <v>164</v>
      </c>
      <c r="E5" s="412">
        <f>SUM(E6:E7)</f>
        <v>105</v>
      </c>
      <c r="F5" s="412">
        <f>SUM(F6:F7)</f>
        <v>92.786486999999994</v>
      </c>
      <c r="G5" s="346">
        <f>G6+G7</f>
        <v>94.840418450000001</v>
      </c>
      <c r="H5" s="364">
        <f>((G5/F5*100)-100)/100</f>
        <v>2.2136105336114442E-2</v>
      </c>
      <c r="I5" s="130"/>
      <c r="M5" s="90"/>
    </row>
    <row r="6" spans="1:13">
      <c r="A6" s="324" t="s">
        <v>144</v>
      </c>
      <c r="B6" s="104">
        <v>203</v>
      </c>
      <c r="C6" s="104">
        <v>193</v>
      </c>
      <c r="D6" s="104">
        <v>164</v>
      </c>
      <c r="E6" s="104">
        <v>105</v>
      </c>
      <c r="F6" s="104">
        <f>92786487/1000000</f>
        <v>92.786486999999994</v>
      </c>
      <c r="G6" s="104">
        <v>75.590418450000001</v>
      </c>
      <c r="H6" s="364">
        <f t="shared" ref="H6" si="0">((G6/F6*100)-100)/100</f>
        <v>-0.18532944942726404</v>
      </c>
      <c r="I6" s="130"/>
      <c r="M6" s="318"/>
    </row>
    <row r="7" spans="1:13">
      <c r="A7" s="413" t="s">
        <v>145</v>
      </c>
      <c r="B7" s="349" t="s">
        <v>16</v>
      </c>
      <c r="C7" s="349" t="s">
        <v>16</v>
      </c>
      <c r="D7" s="349" t="s">
        <v>16</v>
      </c>
      <c r="E7" s="349" t="s">
        <v>16</v>
      </c>
      <c r="F7" s="349" t="s">
        <v>16</v>
      </c>
      <c r="G7" s="307">
        <v>19.25</v>
      </c>
      <c r="H7" s="364"/>
      <c r="I7" s="130"/>
      <c r="M7" s="90"/>
    </row>
    <row r="8" spans="1:13">
      <c r="A8" s="220" t="s">
        <v>140</v>
      </c>
      <c r="B8" s="7"/>
      <c r="C8" s="7"/>
      <c r="E8" s="7"/>
      <c r="F8" s="7"/>
      <c r="G8" s="7"/>
      <c r="I8" s="130"/>
      <c r="M8" s="90"/>
    </row>
    <row r="9" spans="1:13">
      <c r="A9" s="323"/>
      <c r="B9" s="7"/>
      <c r="C9" s="7"/>
      <c r="E9" s="7"/>
      <c r="F9" s="7"/>
      <c r="G9" s="7"/>
      <c r="I9" s="130"/>
    </row>
    <row r="10" spans="1:13">
      <c r="A10" s="59" t="s">
        <v>146</v>
      </c>
      <c r="I10" s="130"/>
      <c r="M10" s="90"/>
    </row>
    <row r="11" spans="1:13">
      <c r="A11" s="18" t="s">
        <v>2</v>
      </c>
      <c r="B11" s="19">
        <v>2019</v>
      </c>
      <c r="C11" s="19">
        <v>2020</v>
      </c>
      <c r="D11" s="19">
        <v>2021</v>
      </c>
      <c r="E11" s="19">
        <v>2022</v>
      </c>
      <c r="F11" s="19">
        <v>2023</v>
      </c>
      <c r="G11" s="19">
        <v>2024</v>
      </c>
      <c r="H11" s="17" t="s">
        <v>8</v>
      </c>
      <c r="I11" s="130"/>
      <c r="M11" s="90"/>
    </row>
    <row r="12" spans="1:13">
      <c r="A12" s="350" t="s">
        <v>147</v>
      </c>
      <c r="B12" s="242">
        <v>163.1</v>
      </c>
      <c r="C12" s="242">
        <v>260.8</v>
      </c>
      <c r="D12" s="242">
        <v>167</v>
      </c>
      <c r="E12" s="242">
        <v>203.3</v>
      </c>
      <c r="F12" s="242">
        <v>343.9</v>
      </c>
      <c r="G12" s="242">
        <v>304.5</v>
      </c>
      <c r="H12" s="269">
        <f t="shared" ref="H12" si="1">((G12/F12*100)-100)/100</f>
        <v>-0.11456818842686829</v>
      </c>
      <c r="I12" s="130"/>
      <c r="M12" s="90"/>
    </row>
    <row r="13" spans="1:13">
      <c r="A13" s="28" t="s">
        <v>148</v>
      </c>
      <c r="B13" s="77">
        <v>0.55119558553034953</v>
      </c>
      <c r="C13" s="77">
        <v>0.33243865030674846</v>
      </c>
      <c r="D13" s="77">
        <v>0.34491017964071857</v>
      </c>
      <c r="E13" s="77">
        <v>0.28283325135268073</v>
      </c>
      <c r="F13" s="77">
        <v>0.14219249781913348</v>
      </c>
      <c r="G13" s="77">
        <v>0.15829228243021348</v>
      </c>
      <c r="H13" s="78">
        <v>0.11322527459612289</v>
      </c>
      <c r="I13" s="130"/>
      <c r="M13" s="90"/>
    </row>
    <row r="14" spans="1:13">
      <c r="A14" s="28" t="s">
        <v>149</v>
      </c>
      <c r="B14" s="77">
        <v>0.23053341508277131</v>
      </c>
      <c r="C14" s="77">
        <v>0.16832822085889571</v>
      </c>
      <c r="D14" s="77">
        <v>0.25329341317365267</v>
      </c>
      <c r="E14" s="77">
        <v>0.19134284308903099</v>
      </c>
      <c r="F14" s="77">
        <v>0.11922070369293399</v>
      </c>
      <c r="G14" s="77">
        <v>0.12413793103448274</v>
      </c>
      <c r="H14" s="78">
        <v>4.1244743481917395E-2</v>
      </c>
      <c r="I14" s="130"/>
      <c r="M14" s="90"/>
    </row>
    <row r="15" spans="1:13">
      <c r="A15" s="28" t="s">
        <v>150</v>
      </c>
      <c r="B15" s="77">
        <v>0.21827099938687927</v>
      </c>
      <c r="C15" s="77">
        <v>0.42369631901840488</v>
      </c>
      <c r="D15" s="77">
        <v>0.31377245508982032</v>
      </c>
      <c r="E15" s="77">
        <v>5.9026069847515981E-2</v>
      </c>
      <c r="F15" s="77">
        <v>1.2212852573422507E-2</v>
      </c>
      <c r="G15" s="77">
        <v>3.0541871921182268E-2</v>
      </c>
      <c r="H15" s="78">
        <v>1.5007975604034716</v>
      </c>
      <c r="I15" s="130"/>
      <c r="M15" s="90"/>
    </row>
    <row r="16" spans="1:13">
      <c r="A16" s="28" t="s">
        <v>151</v>
      </c>
      <c r="B16" s="77">
        <v>0</v>
      </c>
      <c r="C16" s="77">
        <v>7.5536809815950914E-2</v>
      </c>
      <c r="D16" s="77">
        <v>8.8023952095808364E-2</v>
      </c>
      <c r="E16" s="77">
        <v>0.46630595179537626</v>
      </c>
      <c r="F16" s="77">
        <v>0.72666472811863925</v>
      </c>
      <c r="G16" s="77">
        <v>0.68702791461412149</v>
      </c>
      <c r="H16" s="78">
        <v>-5.4546219144472448E-2</v>
      </c>
      <c r="I16" s="130"/>
      <c r="M16" s="90"/>
    </row>
    <row r="17" spans="1:16">
      <c r="I17" s="130"/>
      <c r="M17" s="90"/>
    </row>
    <row r="18" spans="1:16" s="222" customFormat="1">
      <c r="A18" s="221" t="s">
        <v>152</v>
      </c>
      <c r="I18" s="294"/>
    </row>
    <row r="19" spans="1:16">
      <c r="I19" s="130"/>
    </row>
    <row r="20" spans="1:16">
      <c r="A20" s="59" t="s">
        <v>153</v>
      </c>
      <c r="I20" s="130"/>
      <c r="M20" s="90"/>
    </row>
    <row r="21" spans="1:16">
      <c r="A21" s="18" t="s">
        <v>2</v>
      </c>
      <c r="B21" s="19">
        <v>2019</v>
      </c>
      <c r="C21" s="19">
        <v>2020</v>
      </c>
      <c r="D21" s="19">
        <v>2021</v>
      </c>
      <c r="E21" s="19">
        <v>2022</v>
      </c>
      <c r="F21" s="19">
        <v>2023</v>
      </c>
      <c r="G21" s="19" t="s">
        <v>136</v>
      </c>
      <c r="H21" s="23" t="s">
        <v>8</v>
      </c>
      <c r="I21" s="130"/>
      <c r="J21" s="82"/>
      <c r="K21" s="82"/>
      <c r="L21" s="82"/>
      <c r="M21" s="90"/>
      <c r="N21" s="82"/>
      <c r="O21" s="82"/>
    </row>
    <row r="22" spans="1:16">
      <c r="A22" s="360" t="s">
        <v>154</v>
      </c>
      <c r="B22" s="414">
        <f>'[4]lentelės ataskaitai'!F88</f>
        <v>477.08</v>
      </c>
      <c r="C22" s="414">
        <f>'[4]lentelės ataskaitai'!G88</f>
        <v>436.39310800000004</v>
      </c>
      <c r="D22" s="414">
        <f>'[4]lentelės ataskaitai'!H88</f>
        <v>431.28821700000003</v>
      </c>
      <c r="E22" s="414">
        <f>'[4]lentelės ataskaitai'!I88</f>
        <v>345.78</v>
      </c>
      <c r="F22" s="414">
        <f>('[5]3f'!$Q$60+'[5]3f'!$Q$157)/1000000</f>
        <v>349.871894</v>
      </c>
      <c r="G22" s="414">
        <f>G23+G25</f>
        <v>364.55344814</v>
      </c>
      <c r="H22" s="415">
        <f>((G22/F22*100)-100)/100</f>
        <v>4.1962656594530613E-2</v>
      </c>
      <c r="I22" s="130"/>
      <c r="J22" s="82"/>
      <c r="K22" s="82"/>
      <c r="L22" s="82"/>
      <c r="M22" s="90"/>
      <c r="N22" s="82"/>
      <c r="O22" s="82"/>
    </row>
    <row r="23" spans="1:16">
      <c r="A23" s="416" t="s">
        <v>124</v>
      </c>
      <c r="B23" s="358">
        <f>'[4]lentelės ataskaitai'!F89</f>
        <v>58.58</v>
      </c>
      <c r="C23" s="358">
        <f>'[4]lentelės ataskaitai'!G89</f>
        <v>48.54</v>
      </c>
      <c r="D23" s="358">
        <f>'[4]lentelės ataskaitai'!H89</f>
        <v>56.841000000000001</v>
      </c>
      <c r="E23" s="358">
        <f>'[4]lentelės ataskaitai'!I89</f>
        <v>72.34</v>
      </c>
      <c r="F23" s="358">
        <f>'[5]3f'!$Q$60/1000000</f>
        <v>81.285906999999995</v>
      </c>
      <c r="G23" s="358">
        <v>95.555217999999996</v>
      </c>
      <c r="H23" s="353">
        <f t="shared" ref="H23:H27" si="2">((G23/F23*100)-100)/100</f>
        <v>0.17554471035182048</v>
      </c>
      <c r="I23" s="130"/>
      <c r="J23" s="82"/>
      <c r="K23" s="82"/>
      <c r="L23" s="82"/>
      <c r="M23" s="90"/>
      <c r="N23" s="82"/>
      <c r="O23" s="82"/>
    </row>
    <row r="24" spans="1:16">
      <c r="A24" s="417" t="s">
        <v>155</v>
      </c>
      <c r="B24" s="349" t="s">
        <v>16</v>
      </c>
      <c r="C24" s="349" t="s">
        <v>16</v>
      </c>
      <c r="D24" s="349" t="s">
        <v>16</v>
      </c>
      <c r="E24" s="349" t="s">
        <v>16</v>
      </c>
      <c r="F24" s="358">
        <f>'[5]3f'!$Q$63/1000000</f>
        <v>33.995035999999999</v>
      </c>
      <c r="G24" s="363">
        <v>34.602207999999997</v>
      </c>
      <c r="H24" s="364">
        <f t="shared" si="2"/>
        <v>1.7860607648716637E-2</v>
      </c>
      <c r="I24" s="130"/>
      <c r="J24" s="82"/>
      <c r="K24" s="82"/>
      <c r="L24" s="82"/>
      <c r="M24" s="90"/>
      <c r="N24" s="82"/>
      <c r="O24" s="82"/>
    </row>
    <row r="25" spans="1:16">
      <c r="A25" s="418" t="s">
        <v>126</v>
      </c>
      <c r="B25" s="358">
        <f>'[4]lentelės ataskaitai'!F90</f>
        <v>418.5</v>
      </c>
      <c r="C25" s="358">
        <f>'[4]lentelės ataskaitai'!G90</f>
        <v>387.85310800000002</v>
      </c>
      <c r="D25" s="358">
        <f>'[4]lentelės ataskaitai'!H90</f>
        <v>374.44721700000002</v>
      </c>
      <c r="E25" s="358">
        <f>'[4]lentelės ataskaitai'!I90</f>
        <v>273.44</v>
      </c>
      <c r="F25" s="358">
        <f>'[5]3f'!$Q$157/1000000</f>
        <v>268.58598699999999</v>
      </c>
      <c r="G25" s="358">
        <v>268.99823013999998</v>
      </c>
      <c r="H25" s="353">
        <f t="shared" si="2"/>
        <v>1.534864661423967E-3</v>
      </c>
      <c r="I25" s="130"/>
      <c r="J25" s="82"/>
      <c r="K25" s="82"/>
      <c r="L25" s="82"/>
      <c r="M25" s="90"/>
      <c r="N25" s="82"/>
      <c r="O25" s="82"/>
    </row>
    <row r="26" spans="1:16">
      <c r="A26" s="418" t="s">
        <v>156</v>
      </c>
      <c r="B26" s="358" t="s">
        <v>157</v>
      </c>
      <c r="C26" s="358" t="s">
        <v>158</v>
      </c>
      <c r="D26" s="358" t="s">
        <v>159</v>
      </c>
      <c r="E26" s="358" t="s">
        <v>160</v>
      </c>
      <c r="F26" s="358">
        <f>92786487/1000000</f>
        <v>92.786486999999994</v>
      </c>
      <c r="G26" s="358">
        <v>94.94</v>
      </c>
      <c r="H26" s="353">
        <f t="shared" si="2"/>
        <v>2.3209338661566221E-2</v>
      </c>
      <c r="I26" s="130"/>
      <c r="J26" s="82"/>
      <c r="K26" s="82"/>
      <c r="L26" s="82"/>
      <c r="M26" s="90"/>
      <c r="N26" s="82"/>
      <c r="O26" s="82"/>
    </row>
    <row r="27" spans="1:16">
      <c r="A27" s="417" t="s">
        <v>161</v>
      </c>
      <c r="B27" s="414" t="s">
        <v>157</v>
      </c>
      <c r="C27" s="414" t="s">
        <v>158</v>
      </c>
      <c r="D27" s="414" t="s">
        <v>159</v>
      </c>
      <c r="E27" s="414" t="s">
        <v>160</v>
      </c>
      <c r="F27" s="414">
        <f>92786487/1000000</f>
        <v>92.786486999999994</v>
      </c>
      <c r="G27" s="414">
        <v>75.69</v>
      </c>
      <c r="H27" s="353">
        <f t="shared" si="2"/>
        <v>-0.18425621610181225</v>
      </c>
      <c r="I27" s="325"/>
      <c r="J27" s="200"/>
      <c r="K27" s="82"/>
      <c r="L27" s="82"/>
      <c r="M27" s="90"/>
      <c r="N27" s="201"/>
      <c r="O27" s="82"/>
      <c r="P27" s="197"/>
    </row>
    <row r="28" spans="1:16" s="96" customFormat="1">
      <c r="A28" s="319" t="s">
        <v>162</v>
      </c>
      <c r="B28" s="349" t="s">
        <v>16</v>
      </c>
      <c r="C28" s="349" t="s">
        <v>16</v>
      </c>
      <c r="D28" s="349" t="s">
        <v>16</v>
      </c>
      <c r="E28" s="349" t="s">
        <v>16</v>
      </c>
      <c r="F28" s="349" t="s">
        <v>16</v>
      </c>
      <c r="G28" s="308">
        <v>19.25</v>
      </c>
      <c r="H28" s="353"/>
      <c r="I28" s="305"/>
      <c r="J28" s="306"/>
      <c r="K28" s="306"/>
      <c r="L28" s="306"/>
      <c r="M28" s="94"/>
      <c r="N28" s="306"/>
      <c r="O28" s="306"/>
    </row>
    <row r="29" spans="1:16">
      <c r="A29" s="220" t="s">
        <v>140</v>
      </c>
      <c r="M29" s="9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2ED0-5CBC-4A2F-909C-0C0D722BB3B1}">
  <dimension ref="A1:X52"/>
  <sheetViews>
    <sheetView zoomScale="115" zoomScaleNormal="115" workbookViewId="0">
      <selection activeCell="A18" sqref="A18"/>
    </sheetView>
  </sheetViews>
  <sheetFormatPr defaultColWidth="8.7265625" defaultRowHeight="14.75"/>
  <cols>
    <col min="1" max="1" width="62.40625" style="1" customWidth="1"/>
    <col min="2" max="6" width="10.54296875" style="1" bestFit="1" customWidth="1"/>
    <col min="7" max="7" width="11.7265625" style="1" bestFit="1" customWidth="1"/>
    <col min="8" max="8" width="8.7265625" style="1"/>
    <col min="9" max="9" width="26.7265625" style="1" customWidth="1"/>
    <col min="10" max="14" width="8.7265625" style="1"/>
    <col min="15" max="15" width="9.86328125" style="1" bestFit="1" customWidth="1"/>
    <col min="16" max="23" width="8.7265625" style="1"/>
    <col min="24" max="24" width="9.26953125" style="1" bestFit="1" customWidth="1"/>
    <col min="25" max="16384" width="8.7265625" style="1"/>
  </cols>
  <sheetData>
    <row r="1" spans="1:13" s="222" customFormat="1">
      <c r="A1" s="221" t="s">
        <v>163</v>
      </c>
    </row>
    <row r="3" spans="1:13">
      <c r="A3" s="59" t="s">
        <v>164</v>
      </c>
      <c r="I3" s="90"/>
    </row>
    <row r="4" spans="1:13">
      <c r="A4" s="30" t="s">
        <v>2</v>
      </c>
      <c r="B4" s="11">
        <v>2019</v>
      </c>
      <c r="C4" s="11">
        <v>2020</v>
      </c>
      <c r="D4" s="11">
        <v>2021</v>
      </c>
      <c r="E4" s="11">
        <v>2022</v>
      </c>
      <c r="F4" s="11">
        <v>2023</v>
      </c>
      <c r="G4" s="11" t="s">
        <v>136</v>
      </c>
      <c r="I4" s="135"/>
    </row>
    <row r="5" spans="1:13" s="62" customFormat="1">
      <c r="A5" s="158" t="s">
        <v>165</v>
      </c>
      <c r="B5" s="281">
        <f>[6]ataskaitai!G76</f>
        <v>200190</v>
      </c>
      <c r="C5" s="281">
        <f>[6]ataskaitai!H76</f>
        <v>224851</v>
      </c>
      <c r="D5" s="281">
        <f>[6]ataskaitai!I76</f>
        <v>168534</v>
      </c>
      <c r="E5" s="281">
        <f>[6]ataskaitai!J76</f>
        <v>134785</v>
      </c>
      <c r="F5" s="281">
        <f>'[5]1f'!$F$72</f>
        <v>199686</v>
      </c>
      <c r="G5" s="281">
        <v>147653</v>
      </c>
      <c r="I5" s="152"/>
      <c r="J5" s="153"/>
      <c r="K5" s="152"/>
      <c r="L5" s="152"/>
      <c r="M5" s="152"/>
    </row>
    <row r="6" spans="1:13" s="62" customFormat="1">
      <c r="A6" s="155" t="s">
        <v>166</v>
      </c>
      <c r="B6" s="281">
        <f t="shared" ref="B6:E7" si="0">B9+R25+B15</f>
        <v>80851</v>
      </c>
      <c r="C6" s="281">
        <f t="shared" si="0"/>
        <v>92057</v>
      </c>
      <c r="D6" s="281">
        <f t="shared" si="0"/>
        <v>52655</v>
      </c>
      <c r="E6" s="281">
        <f t="shared" si="0"/>
        <v>60941</v>
      </c>
      <c r="F6" s="281">
        <f>'[5]1f'!$F$73</f>
        <v>80357</v>
      </c>
      <c r="G6" s="281">
        <v>69681</v>
      </c>
      <c r="I6" s="152"/>
      <c r="J6" s="152"/>
      <c r="K6" s="152"/>
      <c r="L6" s="152"/>
      <c r="M6" s="152"/>
    </row>
    <row r="7" spans="1:13" s="62" customFormat="1">
      <c r="A7" s="155" t="s">
        <v>167</v>
      </c>
      <c r="B7" s="281">
        <f t="shared" si="0"/>
        <v>113672</v>
      </c>
      <c r="C7" s="281">
        <f t="shared" si="0"/>
        <v>104034</v>
      </c>
      <c r="D7" s="281">
        <f t="shared" si="0"/>
        <v>75219</v>
      </c>
      <c r="E7" s="281">
        <f t="shared" si="0"/>
        <v>52606</v>
      </c>
      <c r="F7" s="281">
        <f>'[5]1f'!$F$77</f>
        <v>119329</v>
      </c>
      <c r="G7" s="281">
        <v>77972</v>
      </c>
      <c r="I7" s="152"/>
      <c r="J7" s="152"/>
      <c r="K7" s="152"/>
      <c r="L7" s="152"/>
      <c r="M7" s="152"/>
    </row>
    <row r="8" spans="1:13" s="62" customFormat="1">
      <c r="A8" s="250" t="s">
        <v>168</v>
      </c>
      <c r="B8" s="282">
        <f>[6]ataskaitai!G77</f>
        <v>194169</v>
      </c>
      <c r="C8" s="282">
        <f>[6]ataskaitai!H77</f>
        <v>169602</v>
      </c>
      <c r="D8" s="282">
        <f>[6]ataskaitai!I77</f>
        <v>123186</v>
      </c>
      <c r="E8" s="282">
        <f>[6]ataskaitai!J77</f>
        <v>112654</v>
      </c>
      <c r="F8" s="282">
        <f>F9+F10</f>
        <v>92869</v>
      </c>
      <c r="G8" s="282">
        <v>97128</v>
      </c>
      <c r="I8" s="152"/>
      <c r="J8" s="152"/>
      <c r="K8" s="152"/>
      <c r="L8" s="152"/>
      <c r="M8" s="152"/>
    </row>
    <row r="9" spans="1:13" s="62" customFormat="1">
      <c r="A9" s="156" t="s">
        <v>169</v>
      </c>
      <c r="B9" s="281">
        <f>[6]ataskaitai!G78</f>
        <v>80497</v>
      </c>
      <c r="C9" s="281">
        <f>[6]ataskaitai!H78</f>
        <v>65568</v>
      </c>
      <c r="D9" s="281">
        <f>[6]ataskaitai!I78</f>
        <v>47967</v>
      </c>
      <c r="E9" s="281">
        <f>[6]ataskaitai!J78</f>
        <v>60048</v>
      </c>
      <c r="F9" s="281">
        <f>'[5]1f'!$F$86</f>
        <v>58752</v>
      </c>
      <c r="G9" s="281">
        <v>63824</v>
      </c>
      <c r="I9" s="99"/>
      <c r="J9" s="152"/>
      <c r="K9" s="152"/>
      <c r="L9" s="152"/>
      <c r="M9" s="152"/>
    </row>
    <row r="10" spans="1:13" s="62" customFormat="1">
      <c r="A10" s="156" t="s">
        <v>170</v>
      </c>
      <c r="B10" s="281">
        <f>[6]ataskaitai!G79</f>
        <v>113672</v>
      </c>
      <c r="C10" s="281">
        <f>[6]ataskaitai!H79</f>
        <v>104034</v>
      </c>
      <c r="D10" s="281">
        <f>[6]ataskaitai!I79</f>
        <v>75219</v>
      </c>
      <c r="E10" s="281">
        <f>[6]ataskaitai!J79</f>
        <v>52606</v>
      </c>
      <c r="F10" s="281">
        <f>'[5]1f'!$F$89</f>
        <v>34117</v>
      </c>
      <c r="G10" s="281">
        <v>33304</v>
      </c>
      <c r="I10" s="419"/>
    </row>
    <row r="11" spans="1:13" s="62" customFormat="1">
      <c r="A11" s="250" t="s">
        <v>171</v>
      </c>
      <c r="B11" s="251" t="s">
        <v>172</v>
      </c>
      <c r="C11" s="251" t="s">
        <v>172</v>
      </c>
      <c r="D11" s="251" t="s">
        <v>172</v>
      </c>
      <c r="E11" s="251" t="s">
        <v>172</v>
      </c>
      <c r="F11" s="282">
        <f>'[5]1f'!$F$92</f>
        <v>88102</v>
      </c>
      <c r="G11" s="282">
        <v>18318</v>
      </c>
    </row>
    <row r="12" spans="1:13" s="62" customFormat="1">
      <c r="A12" s="155" t="s">
        <v>166</v>
      </c>
      <c r="B12" s="249" t="s">
        <v>172</v>
      </c>
      <c r="C12" s="249" t="s">
        <v>172</v>
      </c>
      <c r="D12" s="249" t="s">
        <v>172</v>
      </c>
      <c r="E12" s="249" t="s">
        <v>172</v>
      </c>
      <c r="F12" s="281">
        <f>'[5]1f'!$F$93</f>
        <v>14104</v>
      </c>
      <c r="G12" s="281">
        <v>1458</v>
      </c>
      <c r="I12" s="151"/>
    </row>
    <row r="13" spans="1:13" s="62" customFormat="1">
      <c r="A13" s="155" t="s">
        <v>167</v>
      </c>
      <c r="B13" s="249" t="s">
        <v>172</v>
      </c>
      <c r="C13" s="249" t="s">
        <v>172</v>
      </c>
      <c r="D13" s="249" t="s">
        <v>172</v>
      </c>
      <c r="E13" s="249" t="s">
        <v>172</v>
      </c>
      <c r="F13" s="281">
        <f>'[5]1f'!$F$97</f>
        <v>73998</v>
      </c>
      <c r="G13" s="281">
        <v>16860</v>
      </c>
      <c r="H13" s="154"/>
    </row>
    <row r="14" spans="1:13" s="107" customFormat="1">
      <c r="A14" s="229" t="s">
        <v>173</v>
      </c>
      <c r="B14" s="252">
        <f>[6]ataskaitai!G83</f>
        <v>354</v>
      </c>
      <c r="C14" s="282">
        <f>[6]ataskaitai!H83</f>
        <v>26489</v>
      </c>
      <c r="D14" s="282">
        <f>[6]ataskaitai!I83</f>
        <v>4688</v>
      </c>
      <c r="E14" s="282">
        <f>[6]ataskaitai!J83</f>
        <v>893</v>
      </c>
      <c r="F14" s="282">
        <f>'[5]1f'!$F$127</f>
        <v>2245</v>
      </c>
      <c r="G14" s="282">
        <v>1825</v>
      </c>
    </row>
    <row r="15" spans="1:13" s="107" customFormat="1">
      <c r="A15" s="155" t="s">
        <v>166</v>
      </c>
      <c r="B15" s="281">
        <f>[6]ataskaitai!G84</f>
        <v>354</v>
      </c>
      <c r="C15" s="281">
        <f>[6]ataskaitai!H84</f>
        <v>26489</v>
      </c>
      <c r="D15" s="281">
        <f>[6]ataskaitai!I84</f>
        <v>4688</v>
      </c>
      <c r="E15" s="281">
        <f>[6]ataskaitai!J84</f>
        <v>893</v>
      </c>
      <c r="F15" s="281">
        <f>'[5]1f'!$F$129</f>
        <v>2245</v>
      </c>
      <c r="G15" s="281">
        <v>1825</v>
      </c>
    </row>
    <row r="16" spans="1:13" s="107" customFormat="1">
      <c r="A16" s="155" t="s">
        <v>167</v>
      </c>
      <c r="B16" s="249">
        <f>[6]ataskaitai!G85</f>
        <v>0</v>
      </c>
      <c r="C16" s="249">
        <f>[6]ataskaitai!H85</f>
        <v>0</v>
      </c>
      <c r="D16" s="249">
        <f>[6]ataskaitai!I85</f>
        <v>0</v>
      </c>
      <c r="E16" s="249">
        <f>[6]ataskaitai!J85</f>
        <v>0</v>
      </c>
      <c r="F16" s="249">
        <f>'[5]1f'!$F$140</f>
        <v>0</v>
      </c>
      <c r="G16" s="249">
        <v>0</v>
      </c>
    </row>
    <row r="17" spans="1:24" s="107" customFormat="1">
      <c r="A17" s="247" t="s">
        <v>174</v>
      </c>
      <c r="B17" s="1"/>
      <c r="C17" s="1"/>
      <c r="D17" s="1"/>
      <c r="E17" s="1"/>
      <c r="F17" s="1"/>
      <c r="G17" s="1"/>
    </row>
    <row r="18" spans="1:24" s="107" customFormat="1">
      <c r="A18" s="247" t="s">
        <v>175</v>
      </c>
      <c r="B18" s="3"/>
      <c r="C18" s="3"/>
      <c r="D18" s="3"/>
      <c r="E18" s="3"/>
      <c r="F18" s="3"/>
      <c r="G18" s="1"/>
    </row>
    <row r="19" spans="1:24" s="107" customFormat="1">
      <c r="Q19" s="177"/>
      <c r="R19" s="178"/>
      <c r="S19" s="178"/>
      <c r="T19" s="178"/>
      <c r="U19" s="178"/>
      <c r="V19" s="178"/>
      <c r="W19" s="178"/>
      <c r="X19" s="178"/>
    </row>
    <row r="20" spans="1:24" s="107" customFormat="1">
      <c r="A20" s="59" t="s">
        <v>176</v>
      </c>
      <c r="B20" s="1"/>
      <c r="C20" s="1"/>
      <c r="D20" s="1"/>
      <c r="Q20" s="177"/>
      <c r="R20" s="178"/>
      <c r="S20" s="178"/>
      <c r="T20" s="178"/>
      <c r="U20" s="178"/>
      <c r="V20" s="178"/>
      <c r="W20" s="179"/>
      <c r="X20" s="178"/>
    </row>
    <row r="21" spans="1:24" s="107" customFormat="1" ht="29.5">
      <c r="A21" s="88" t="s">
        <v>2</v>
      </c>
      <c r="B21" s="19">
        <v>2023</v>
      </c>
      <c r="C21" s="19">
        <v>2024</v>
      </c>
      <c r="D21" s="17" t="s">
        <v>8</v>
      </c>
      <c r="H21" s="248"/>
      <c r="Q21" s="177"/>
      <c r="R21" s="178"/>
      <c r="S21" s="178"/>
      <c r="T21" s="178"/>
      <c r="U21" s="178"/>
      <c r="V21" s="178"/>
      <c r="W21" s="179"/>
      <c r="X21" s="178"/>
    </row>
    <row r="22" spans="1:24" s="107" customFormat="1">
      <c r="A22" s="420" t="s">
        <v>177</v>
      </c>
      <c r="B22" s="421">
        <f t="shared" ref="B22:C24" si="1">F8*100/(F5-F11-F14)/100</f>
        <v>0.84936756326653806</v>
      </c>
      <c r="C22" s="421">
        <f t="shared" si="1"/>
        <v>0.76172849188298952</v>
      </c>
      <c r="D22" s="421">
        <f>C22-B22</f>
        <v>-8.7639071383548539E-2</v>
      </c>
      <c r="E22" s="184"/>
      <c r="H22" s="248"/>
      <c r="Q22" s="177"/>
      <c r="R22" s="178"/>
      <c r="S22" s="178"/>
      <c r="T22" s="178"/>
      <c r="U22" s="178"/>
      <c r="V22" s="178"/>
      <c r="W22" s="179"/>
      <c r="X22" s="178"/>
    </row>
    <row r="23" spans="1:24" s="62" customFormat="1">
      <c r="A23" s="89" t="s">
        <v>178</v>
      </c>
      <c r="B23" s="22">
        <f t="shared" si="1"/>
        <v>0.91788526434195727</v>
      </c>
      <c r="C23" s="22">
        <f t="shared" si="1"/>
        <v>0.96123377210156935</v>
      </c>
      <c r="D23" s="22">
        <f>C23-B23</f>
        <v>4.3348507759612076E-2</v>
      </c>
      <c r="E23" s="184"/>
      <c r="P23" s="142"/>
      <c r="Q23" s="177"/>
      <c r="R23" s="178"/>
      <c r="S23" s="178"/>
      <c r="T23" s="178"/>
      <c r="U23" s="178"/>
      <c r="V23" s="178"/>
      <c r="W23" s="179"/>
      <c r="X23" s="180"/>
    </row>
    <row r="24" spans="1:24" s="62" customFormat="1">
      <c r="A24" s="89" t="s">
        <v>179</v>
      </c>
      <c r="B24" s="22">
        <f t="shared" si="1"/>
        <v>0.75261962012750661</v>
      </c>
      <c r="C24" s="22">
        <f t="shared" si="1"/>
        <v>0.54496661866736484</v>
      </c>
      <c r="D24" s="22">
        <f>C24-B24</f>
        <v>-0.20765300146014176</v>
      </c>
      <c r="E24" s="184"/>
      <c r="P24" s="142"/>
      <c r="Q24" s="107"/>
      <c r="R24" s="178"/>
      <c r="S24" s="178"/>
      <c r="T24" s="178"/>
      <c r="U24" s="178"/>
      <c r="V24" s="178"/>
      <c r="W24" s="178"/>
      <c r="X24" s="180"/>
    </row>
    <row r="25" spans="1:24" s="62" customFormat="1">
      <c r="P25" s="142"/>
      <c r="Q25" s="177"/>
      <c r="R25" s="178"/>
      <c r="S25" s="178"/>
      <c r="T25" s="178"/>
      <c r="U25" s="178"/>
      <c r="V25" s="178"/>
      <c r="W25" s="179"/>
      <c r="X25" s="180"/>
    </row>
    <row r="26" spans="1:24">
      <c r="I26" s="76"/>
      <c r="J26" s="76"/>
      <c r="K26" s="76"/>
      <c r="L26" s="76"/>
      <c r="M26" s="76"/>
      <c r="N26" s="76"/>
      <c r="O26" s="76"/>
      <c r="P26" s="87"/>
      <c r="Q26" s="177"/>
      <c r="R26" s="178"/>
      <c r="S26" s="178"/>
      <c r="T26" s="178"/>
      <c r="U26" s="178"/>
      <c r="V26" s="178"/>
      <c r="W26" s="179"/>
      <c r="X26" s="180"/>
    </row>
    <row r="27" spans="1:24">
      <c r="I27" s="187"/>
      <c r="J27" s="76"/>
      <c r="K27" s="76"/>
      <c r="L27" s="76"/>
      <c r="M27" s="76"/>
      <c r="N27" s="76"/>
      <c r="O27" s="76"/>
      <c r="P27" s="87"/>
      <c r="Q27" s="107"/>
      <c r="R27" s="178"/>
      <c r="S27" s="178"/>
      <c r="T27" s="178"/>
      <c r="U27" s="178"/>
      <c r="V27" s="178"/>
      <c r="W27" s="179"/>
      <c r="X27" s="180"/>
    </row>
    <row r="28" spans="1:24">
      <c r="E28" s="3"/>
      <c r="F28" s="3"/>
      <c r="I28" s="188"/>
      <c r="J28" s="188"/>
      <c r="K28" s="188"/>
      <c r="L28" s="188"/>
      <c r="M28" s="188"/>
      <c r="N28" s="188"/>
      <c r="O28" s="188"/>
      <c r="P28" s="87"/>
    </row>
    <row r="29" spans="1:24">
      <c r="E29" s="3"/>
      <c r="F29" s="3"/>
      <c r="I29" s="76"/>
      <c r="J29" s="189"/>
      <c r="K29" s="189"/>
      <c r="L29" s="189"/>
      <c r="M29" s="189"/>
      <c r="N29" s="186"/>
      <c r="O29" s="186"/>
      <c r="P29" s="87"/>
      <c r="Q29" s="181"/>
      <c r="R29" s="107"/>
      <c r="S29" s="107"/>
      <c r="T29" s="107"/>
      <c r="U29" s="107"/>
      <c r="V29" s="107"/>
      <c r="W29" s="107"/>
    </row>
    <row r="30" spans="1:24">
      <c r="I30" s="76"/>
      <c r="J30" s="186"/>
      <c r="K30" s="186"/>
      <c r="L30" s="186"/>
      <c r="M30" s="186"/>
      <c r="N30" s="186"/>
      <c r="O30" s="186"/>
      <c r="P30" s="87"/>
      <c r="Q30" s="182"/>
      <c r="R30" s="182"/>
      <c r="S30" s="182"/>
      <c r="T30" s="182"/>
      <c r="U30" s="182"/>
      <c r="V30" s="182"/>
      <c r="W30" s="182"/>
    </row>
    <row r="31" spans="1:24">
      <c r="I31" s="76"/>
      <c r="J31" s="186"/>
      <c r="K31" s="186"/>
      <c r="L31" s="186"/>
      <c r="M31" s="186"/>
      <c r="N31" s="186"/>
      <c r="O31" s="186"/>
      <c r="P31" s="87"/>
      <c r="Q31" s="107"/>
      <c r="R31" s="183"/>
      <c r="S31" s="183"/>
      <c r="T31" s="183"/>
      <c r="U31" s="183"/>
      <c r="V31" s="183"/>
      <c r="W31" s="183"/>
    </row>
    <row r="32" spans="1:24">
      <c r="I32" s="76"/>
      <c r="J32" s="186"/>
      <c r="K32" s="186"/>
      <c r="L32" s="186"/>
      <c r="M32" s="186"/>
      <c r="N32" s="186"/>
      <c r="O32" s="186"/>
      <c r="P32" s="87"/>
      <c r="Q32" s="177"/>
      <c r="R32" s="179"/>
      <c r="S32" s="179"/>
      <c r="T32" s="179"/>
      <c r="U32" s="179"/>
      <c r="V32" s="183"/>
      <c r="W32" s="183"/>
    </row>
    <row r="33" spans="9:23">
      <c r="I33" s="76"/>
      <c r="J33" s="76"/>
      <c r="K33" s="76"/>
      <c r="L33" s="76"/>
      <c r="M33" s="76"/>
      <c r="N33" s="76"/>
      <c r="O33" s="76"/>
      <c r="P33" s="87"/>
      <c r="Q33" s="177"/>
      <c r="R33" s="179"/>
      <c r="S33" s="179"/>
      <c r="T33" s="179"/>
      <c r="U33" s="179"/>
      <c r="V33" s="183"/>
      <c r="W33" s="184"/>
    </row>
    <row r="34" spans="9:23">
      <c r="P34" s="87"/>
      <c r="Q34" s="107"/>
      <c r="R34" s="185"/>
      <c r="S34" s="185"/>
      <c r="T34" s="185"/>
      <c r="U34" s="185"/>
      <c r="V34" s="185"/>
      <c r="W34" s="107"/>
    </row>
    <row r="35" spans="9:23">
      <c r="I35" s="87"/>
      <c r="J35" s="87"/>
      <c r="K35" s="87"/>
      <c r="L35" s="87"/>
      <c r="M35" s="87"/>
      <c r="N35" s="87"/>
      <c r="O35" s="87"/>
      <c r="P35" s="87"/>
      <c r="Q35" s="107"/>
      <c r="R35" s="183"/>
      <c r="S35" s="183"/>
      <c r="T35" s="183"/>
      <c r="U35" s="183"/>
      <c r="V35" s="183"/>
      <c r="W35" s="183"/>
    </row>
    <row r="36" spans="9:23">
      <c r="I36" s="187"/>
      <c r="J36" s="76"/>
      <c r="K36" s="76"/>
      <c r="L36" s="76"/>
      <c r="M36" s="76"/>
      <c r="N36" s="76"/>
      <c r="O36" s="76"/>
      <c r="P36" s="87"/>
      <c r="Q36" s="177"/>
      <c r="R36" s="178"/>
      <c r="S36" s="178"/>
      <c r="T36" s="178"/>
      <c r="U36" s="178"/>
      <c r="V36" s="183"/>
      <c r="W36" s="184"/>
    </row>
    <row r="37" spans="9:23">
      <c r="I37" s="188"/>
      <c r="J37" s="188"/>
      <c r="K37" s="188"/>
      <c r="L37" s="188"/>
      <c r="M37" s="188"/>
      <c r="N37" s="188"/>
      <c r="O37" s="188"/>
      <c r="Q37" s="177"/>
      <c r="R37" s="178"/>
      <c r="S37" s="178"/>
      <c r="T37" s="178"/>
      <c r="U37" s="178"/>
      <c r="V37" s="183"/>
      <c r="W37" s="184"/>
    </row>
    <row r="38" spans="9:23">
      <c r="I38" s="76"/>
      <c r="J38" s="189"/>
      <c r="K38" s="189"/>
      <c r="L38" s="189"/>
      <c r="M38" s="189"/>
      <c r="N38" s="186"/>
      <c r="O38" s="186"/>
    </row>
    <row r="39" spans="9:23">
      <c r="I39" s="76"/>
      <c r="J39" s="186"/>
      <c r="K39" s="186"/>
      <c r="L39" s="186"/>
      <c r="M39" s="190"/>
      <c r="N39" s="190"/>
      <c r="O39" s="190"/>
    </row>
    <row r="40" spans="9:23">
      <c r="I40" s="76"/>
      <c r="J40" s="186"/>
      <c r="K40" s="186"/>
      <c r="L40" s="186"/>
      <c r="M40" s="190"/>
      <c r="N40" s="190"/>
      <c r="O40" s="190"/>
    </row>
    <row r="41" spans="9:23">
      <c r="I41" s="76"/>
      <c r="J41" s="186"/>
      <c r="K41" s="186"/>
      <c r="L41" s="186"/>
      <c r="M41" s="190"/>
      <c r="N41" s="190"/>
      <c r="O41" s="190"/>
    </row>
    <row r="45" spans="9:23">
      <c r="I45" s="187"/>
      <c r="J45" s="76"/>
      <c r="K45" s="76"/>
      <c r="L45" s="76"/>
      <c r="M45" s="76"/>
      <c r="N45" s="76"/>
      <c r="O45" s="76"/>
      <c r="P45" s="76"/>
    </row>
    <row r="46" spans="9:23">
      <c r="I46" s="191"/>
      <c r="J46" s="192"/>
      <c r="K46" s="192"/>
      <c r="L46" s="192"/>
      <c r="M46" s="192"/>
      <c r="N46" s="192"/>
      <c r="O46" s="192"/>
      <c r="P46" s="193"/>
    </row>
    <row r="47" spans="9:23">
      <c r="I47" s="76"/>
      <c r="J47" s="186"/>
      <c r="K47" s="186"/>
      <c r="L47" s="186"/>
      <c r="M47" s="186"/>
      <c r="N47" s="186"/>
      <c r="O47" s="186"/>
      <c r="P47" s="194"/>
    </row>
    <row r="48" spans="9:23">
      <c r="I48" s="195"/>
      <c r="J48" s="196"/>
      <c r="K48" s="196"/>
      <c r="L48" s="196"/>
      <c r="M48" s="196"/>
      <c r="N48" s="186"/>
      <c r="O48" s="186"/>
      <c r="P48" s="194"/>
    </row>
    <row r="49" spans="9:16">
      <c r="I49" s="195"/>
      <c r="J49" s="196"/>
      <c r="K49" s="196"/>
      <c r="L49" s="196"/>
      <c r="M49" s="196"/>
      <c r="N49" s="186"/>
      <c r="O49" s="186"/>
      <c r="P49" s="194"/>
    </row>
    <row r="50" spans="9:16">
      <c r="I50" s="76"/>
      <c r="J50" s="196"/>
      <c r="K50" s="196"/>
      <c r="L50" s="196"/>
      <c r="M50" s="196"/>
      <c r="N50" s="186"/>
      <c r="O50" s="186"/>
      <c r="P50" s="194"/>
    </row>
    <row r="51" spans="9:16">
      <c r="I51" s="195"/>
      <c r="J51" s="196"/>
      <c r="K51" s="196"/>
      <c r="L51" s="196"/>
      <c r="M51" s="196"/>
      <c r="N51" s="186"/>
      <c r="O51" s="186"/>
      <c r="P51" s="194"/>
    </row>
    <row r="52" spans="9:16">
      <c r="I52" s="195"/>
      <c r="J52" s="196"/>
      <c r="K52" s="196"/>
      <c r="L52" s="196"/>
      <c r="M52" s="196"/>
      <c r="N52" s="186"/>
      <c r="O52" s="186"/>
      <c r="P52" s="19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9D92DBA76F1A540A69318C4DFDF8F7F" ma:contentTypeVersion="3" ma:contentTypeDescription="Kurkite naują dokumentą." ma:contentTypeScope="" ma:versionID="413c7e2a16ae22383126881c0ed64c3c">
  <xsd:schema xmlns:xsd="http://www.w3.org/2001/XMLSchema" xmlns:xs="http://www.w3.org/2001/XMLSchema" xmlns:p="http://schemas.microsoft.com/office/2006/metadata/properties" xmlns:ns2="bcd8f4ca-d4fc-44cb-9d91-0ba9fedaa127" targetNamespace="http://schemas.microsoft.com/office/2006/metadata/properties" ma:root="true" ma:fieldsID="b1cfcc006b3fb464bf3e420ffe950f08" ns2:_="">
    <xsd:import namespace="bcd8f4ca-d4fc-44cb-9d91-0ba9fedaa12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8f4ca-d4fc-44cb-9d91-0ba9fedaa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6760C2-24E2-49F8-BA45-96F385D59AF1}">
  <ds:schemaRefs>
    <ds:schemaRef ds:uri="http://schemas.microsoft.com/sharepoint/v3/contenttype/forms"/>
  </ds:schemaRefs>
</ds:datastoreItem>
</file>

<file path=customXml/itemProps2.xml><?xml version="1.0" encoding="utf-8"?>
<ds:datastoreItem xmlns:ds="http://schemas.openxmlformats.org/officeDocument/2006/customXml" ds:itemID="{5F16F30C-1312-4362-8B57-96FA68989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8f4ca-d4fc-44cb-9d91-0ba9fedaa1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F5D8E3-14A5-4389-A47D-30020E5721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1-4 Tinklas ir rinka</vt:lpstr>
      <vt:lpstr>5-7 Faktinė darbo apimtis</vt:lpstr>
      <vt:lpstr>8-10 Traukinių eismas</vt:lpstr>
      <vt:lpstr>11-13 Krovinių vežimo rinka</vt:lpstr>
      <vt:lpstr>14-15 Keleivių vežimo rinka</vt:lpstr>
      <vt:lpstr>16-18 Rinkos dalyviųdarbuotojai</vt:lpstr>
      <vt:lpstr>19-22 Užmokesčiai už VGĮ, UMPP</vt:lpstr>
      <vt:lpstr>23-25 Pajamos ir išlaidos</vt:lpstr>
      <vt:lpstr>26 Traukinių punktualumas</vt:lpstr>
      <vt:lpstr>27-28 GPĮ ir jų panaudojimas</vt:lpstr>
      <vt:lpstr>29 Kt. šalys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Stambrauskė</dc:creator>
  <cp:keywords/>
  <dc:description/>
  <cp:lastModifiedBy>Danielė Kazilionytė</cp:lastModifiedBy>
  <cp:revision/>
  <dcterms:created xsi:type="dcterms:W3CDTF">2015-06-05T18:17:20Z</dcterms:created>
  <dcterms:modified xsi:type="dcterms:W3CDTF">2025-05-15T06:01:18Z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0x010100F9D92DBA76F1A540A69318C4DFDF8F7F</vt:lpwstr>
  </property>
</Properties>
</file>